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8.xml" ContentType="application/vnd.openxmlformats-officedocument.drawing+xml"/>
  <Override PartName="/xl/worksheets/sheet40.xml" ContentType="application/vnd.openxmlformats-officedocument.spreadsheetml.worksheet+xml"/>
  <Override PartName="/xl/drawings/drawing19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0.xml" ContentType="application/vnd.openxmlformats-officedocument.drawing+xml"/>
  <Override PartName="/xl/worksheets/sheet43.xml" ContentType="application/vnd.openxmlformats-officedocument.spreadsheetml.worksheet+xml"/>
  <Override PartName="/xl/drawings/drawing21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worksheets/sheet47.xml" ContentType="application/vnd.openxmlformats-officedocument.spreadsheetml.worksheet+xml"/>
  <Override PartName="/xl/drawings/drawing23.xml" ContentType="application/vnd.openxmlformats-officedocument.drawing+xml"/>
  <Override PartName="/xl/worksheets/sheet48.xml" ContentType="application/vnd.openxmlformats-officedocument.spreadsheetml.worksheet+xml"/>
  <Override PartName="/xl/drawings/drawing24.xml" ContentType="application/vnd.openxmlformats-officedocument.drawing+xml"/>
  <Override PartName="/xl/worksheets/sheet4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65521" yWindow="65521" windowWidth="13005" windowHeight="6615" tabRatio="922" firstSheet="38" activeTab="43"/>
  </bookViews>
  <sheets>
    <sheet name="XXXXXX" sheetId="17" state="veryHidden" r:id="rId1"/>
    <sheet name="겉표지" sheetId="71" r:id="rId2"/>
    <sheet name="겉표지2" sheetId="79" r:id="rId3"/>
    <sheet name="법인표지" sheetId="109" r:id="rId4"/>
    <sheet name="법인회계" sheetId="204" r:id="rId5"/>
    <sheet name="법인수입표지" sheetId="111" r:id="rId6"/>
    <sheet name="법인수입(1)" sheetId="112" r:id="rId7"/>
    <sheet name="법인지출표지" sheetId="115" r:id="rId8"/>
    <sheet name="법인지출(1)" sheetId="119" r:id="rId9"/>
    <sheet name="부속명세서표지" sheetId="122" r:id="rId10"/>
    <sheet name="인건비" sheetId="205" r:id="rId11"/>
    <sheet name="부속명세서(수입)" sheetId="185" r:id="rId12"/>
    <sheet name="부속명세서(지출)" sheetId="126" r:id="rId13"/>
    <sheet name="겉표지3" sheetId="66" r:id="rId14"/>
    <sheet name="교비회계" sheetId="163" r:id="rId15"/>
    <sheet name="교비회계합산(14양식)" sheetId="216" r:id="rId16"/>
    <sheet name="표지(등록금회계)" sheetId="72" r:id="rId17"/>
    <sheet name="수입의부(등)" sheetId="218" r:id="rId18"/>
    <sheet name="지출의부(등) " sheetId="219" r:id="rId19"/>
    <sheet name="표지(비등록회계)" sheetId="220" r:id="rId20"/>
    <sheet name="수입의부(비)" sheetId="32" r:id="rId21"/>
    <sheet name="지출의부(비)" sheetId="29" r:id="rId22"/>
    <sheet name="표지(부속명세서)" sheetId="171" r:id="rId23"/>
    <sheet name="등록금명세서" sheetId="86" r:id="rId24"/>
    <sheet name="인건비명세서" sheetId="217" r:id="rId25"/>
    <sheet name="항목별세부명세서(등수입)" sheetId="167" r:id="rId26"/>
    <sheet name="항목별세부명세서(등지출)" sheetId="168" r:id="rId27"/>
    <sheet name="항복별세부명세서(비등수입)" sheetId="224" r:id="rId28"/>
    <sheet name="항목별세부명세서(비등지출)" sheetId="223" r:id="rId29"/>
    <sheet name="표지(연수원)" sheetId="225" r:id="rId30"/>
    <sheet name="표지(비등록)" sheetId="156" r:id="rId31"/>
    <sheet name="비등록(수입)-연수" sheetId="157" r:id="rId32"/>
    <sheet name="비등록(지출)-연수" sheetId="153" r:id="rId33"/>
    <sheet name="항목별표지" sheetId="174" r:id="rId34"/>
    <sheet name="인건비명세(연수원)" sheetId="145" r:id="rId35"/>
    <sheet name="항목별세부명세서(비등수입)-연수원" sheetId="222" r:id="rId36"/>
    <sheet name="항목별세부(비등지출)-연수원" sheetId="172" r:id="rId37"/>
    <sheet name="표지(국제학사)" sheetId="226" r:id="rId38"/>
    <sheet name="비등록금표지" sheetId="141" r:id="rId39"/>
    <sheet name="비등록금수입(국제)" sheetId="142" r:id="rId40"/>
    <sheet name="비등록금지출(국제)" sheetId="140" r:id="rId41"/>
    <sheet name="인건비명세(국제)" sheetId="138" r:id="rId42"/>
    <sheet name="항목별(수입)비등-국제" sheetId="161" r:id="rId43"/>
    <sheet name="항목별(지출)비등-국제" sheetId="159" r:id="rId44"/>
    <sheet name="표지(모현)" sheetId="229" r:id="rId45"/>
    <sheet name="비등록금회계(모현)" sheetId="230" r:id="rId46"/>
    <sheet name="비등(수입)-모현" sheetId="231" r:id="rId47"/>
    <sheet name="비등(지출)-모현" sheetId="232" r:id="rId48"/>
    <sheet name="항목별(수입)-모현" sheetId="234" r:id="rId49"/>
    <sheet name="항목별(지출)-모현" sheetId="235" r:id="rId50"/>
  </sheets>
  <definedNames>
    <definedName name="_xlnm.Print_Area" localSheetId="23">'등록금명세서'!$A$1:$L$258</definedName>
    <definedName name="_xlnm.Print_Area" localSheetId="8">'법인지출(1)'!$A$1:$G$110</definedName>
    <definedName name="_xlnm.Print_Area" localSheetId="20">'수입의부(비)'!$A$1:$G$99</definedName>
    <definedName name="_xlnm.Print_Area" localSheetId="24">'인건비명세서'!$A$1:$H$33</definedName>
    <definedName name="_xlnm.Print_Area" localSheetId="18">'지출의부(등) '!$A$1:$G$128</definedName>
    <definedName name="_xlnm.Print_Area" localSheetId="48">'항목별(수입)-모현'!$A$1:$E$30</definedName>
    <definedName name="_xlnm.Print_Area" localSheetId="43">'항목별(지출)비등-국제'!$A$1:$E$172</definedName>
    <definedName name="_xlnm.Print_Area" localSheetId="25">'항목별세부명세서(등수입)'!$A$1:$E$42</definedName>
    <definedName name="_xlnm.Print_Area" localSheetId="27">'항복별세부명세서(비등수입)'!$A$1:$E$186</definedName>
    <definedName name="기" localSheetId="17">#REF!</definedName>
    <definedName name="기" localSheetId="18">#REF!</definedName>
    <definedName name="기" localSheetId="19">#REF!</definedName>
    <definedName name="기" localSheetId="35">#REF!</definedName>
    <definedName name="기">#REF!</definedName>
    <definedName name="기성회연습" localSheetId="17">#REF!</definedName>
    <definedName name="기성회연습" localSheetId="18">#REF!</definedName>
    <definedName name="기성회연습" localSheetId="19">#REF!</definedName>
    <definedName name="기성회연습" localSheetId="35">#REF!</definedName>
    <definedName name="기성회연습">#REF!</definedName>
    <definedName name="모으기영역" localSheetId="17">#REF!</definedName>
    <definedName name="모으기영역" localSheetId="18">#REF!</definedName>
    <definedName name="모으기영역" localSheetId="19">#REF!</definedName>
    <definedName name="모으기영역" localSheetId="35">#REF!</definedName>
    <definedName name="모으기영역">#REF!</definedName>
    <definedName name="모으기영역2" localSheetId="17">#REF!</definedName>
    <definedName name="모으기영역2" localSheetId="18">#REF!</definedName>
    <definedName name="모으기영역2" localSheetId="19">#REF!</definedName>
    <definedName name="모으기영역2" localSheetId="35">#REF!</definedName>
    <definedName name="모으기영역2">#REF!</definedName>
    <definedName name="수입98" localSheetId="17">#REF!</definedName>
    <definedName name="수입98" localSheetId="18">#REF!</definedName>
    <definedName name="수입98" localSheetId="19">#REF!</definedName>
    <definedName name="수입98" localSheetId="35">#REF!</definedName>
    <definedName name="수입98">#REF!</definedName>
    <definedName name="ㅇㅇ" localSheetId="17">#REF!</definedName>
    <definedName name="ㅇㅇ" localSheetId="18">#REF!</definedName>
    <definedName name="ㅇㅇ" localSheetId="19">#REF!</definedName>
    <definedName name="ㅇㅇ" localSheetId="35">#REF!</definedName>
    <definedName name="ㅇㅇ">#REF!</definedName>
    <definedName name="지출" localSheetId="17">#REF!</definedName>
    <definedName name="지출" localSheetId="18">#REF!</definedName>
    <definedName name="지출" localSheetId="19">#REF!</definedName>
    <definedName name="지출" localSheetId="35">#REF!</definedName>
    <definedName name="지출">#REF!</definedName>
    <definedName name="지출98" localSheetId="17">#REF!</definedName>
    <definedName name="지출98" localSheetId="18">#REF!</definedName>
    <definedName name="지출98" localSheetId="19">#REF!</definedName>
    <definedName name="지출98" localSheetId="35">#REF!</definedName>
    <definedName name="지출98">#REF!</definedName>
    <definedName name="추경이사" localSheetId="17">#REF!</definedName>
    <definedName name="추경이사" localSheetId="18">#REF!</definedName>
    <definedName name="추경이사" localSheetId="19">#REF!</definedName>
    <definedName name="추경이사" localSheetId="35">#REF!</definedName>
    <definedName name="추경이사">#REF!</definedName>
    <definedName name="_xlnm.Print_Titles" localSheetId="6">'법인수입(1)'!$4:$5</definedName>
    <definedName name="_xlnm.Print_Titles" localSheetId="8">'법인지출(1)'!$4:$5</definedName>
    <definedName name="_xlnm.Print_Titles" localSheetId="11">'부속명세서(수입)'!$4:$5</definedName>
    <definedName name="_xlnm.Print_Titles" localSheetId="12">'부속명세서(지출)'!$4:$5</definedName>
    <definedName name="_xlnm.Print_Titles" localSheetId="17">'수입의부(등)'!$4:$5</definedName>
    <definedName name="_xlnm.Print_Titles" localSheetId="18">'지출의부(등) '!$4:$5</definedName>
    <definedName name="_xlnm.Print_Titles" localSheetId="20">'수입의부(비)'!$4:$5</definedName>
    <definedName name="_xlnm.Print_Titles" localSheetId="21">'지출의부(비)'!$4:$5</definedName>
    <definedName name="_xlnm.Print_Titles" localSheetId="23">'등록금명세서'!$1:$2</definedName>
    <definedName name="_xlnm.Print_Titles" localSheetId="25">'항목별세부명세서(등수입)'!$4:$5</definedName>
    <definedName name="_xlnm.Print_Titles" localSheetId="26">'항목별세부명세서(등지출)'!$4:$5</definedName>
    <definedName name="_xlnm.Print_Titles" localSheetId="27">'항복별세부명세서(비등수입)'!$4:$5</definedName>
    <definedName name="_xlnm.Print_Titles" localSheetId="28">'항목별세부명세서(비등지출)'!$4:$5</definedName>
    <definedName name="_xlnm.Print_Titles" localSheetId="31">'비등록(수입)-연수'!$4:$5</definedName>
    <definedName name="_xlnm.Print_Titles" localSheetId="32">'비등록(지출)-연수'!$4:$5</definedName>
    <definedName name="_xlnm.Print_Titles" localSheetId="35">'항목별세부명세서(비등수입)-연수원'!$4:$5</definedName>
    <definedName name="_xlnm.Print_Titles" localSheetId="36">'항목별세부(비등지출)-연수원'!$4:$5</definedName>
    <definedName name="_xlnm.Print_Titles" localSheetId="39">'비등록금수입(국제)'!$4:$5</definedName>
    <definedName name="_xlnm.Print_Titles" localSheetId="40">'비등록금지출(국제)'!$4:$5</definedName>
    <definedName name="_xlnm.Print_Titles" localSheetId="42">'항목별(수입)비등-국제'!$4:$5</definedName>
    <definedName name="_xlnm.Print_Titles" localSheetId="43">'항목별(지출)비등-국제'!$4:$5</definedName>
    <definedName name="_xlnm.Print_Titles" localSheetId="47">'비등(지출)-모현'!$4:$5</definedName>
    <definedName name="_xlnm.Print_Titles" localSheetId="49">'항목별(지출)-모현'!$4:$5</definedName>
  </definedNames>
  <calcPr calcId="144525" fullPrecision="0"/>
</workbook>
</file>

<file path=xl/comments9.xml><?xml version="1.0" encoding="utf-8"?>
<comments xmlns="http://schemas.openxmlformats.org/spreadsheetml/2006/main">
  <authors>
    <author>곽순석</author>
  </authors>
  <commentList>
    <comment ref="A92" authorId="0">
      <text>
        <r>
          <rPr>
            <b/>
            <sz val="9"/>
            <rFont val="돋움"/>
            <family val="3"/>
          </rPr>
          <t>곽순석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<sst xmlns="http://schemas.openxmlformats.org/spreadsheetml/2006/main" count="2846" uniqueCount="1767">
  <si>
    <t>2학년</t>
  </si>
  <si>
    <t>3학년</t>
  </si>
  <si>
    <t>4학년</t>
  </si>
  <si>
    <t xml:space="preserve">수 입 의 부 </t>
  </si>
  <si>
    <t>과                목</t>
  </si>
  <si>
    <t>산  출  근  거</t>
  </si>
  <si>
    <t xml:space="preserve">관 </t>
  </si>
  <si>
    <t xml:space="preserve">항 </t>
  </si>
  <si>
    <t>목</t>
  </si>
  <si>
    <t>자금수입총계</t>
  </si>
  <si>
    <t xml:space="preserve">지 출 의 부 </t>
  </si>
  <si>
    <t>자금지출총계</t>
  </si>
  <si>
    <t>과                목</t>
  </si>
  <si>
    <t xml:space="preserve">관 </t>
  </si>
  <si>
    <t>금액</t>
  </si>
  <si>
    <t>국제스포츠레저학부(2)</t>
  </si>
  <si>
    <t>미사용전기이월자금</t>
  </si>
  <si>
    <t>전입및기부수입</t>
  </si>
  <si>
    <t>교육부대수입</t>
  </si>
  <si>
    <t xml:space="preserve">증명, 사용료 
수          입 </t>
  </si>
  <si>
    <t xml:space="preserve">기타교육부대수입
</t>
  </si>
  <si>
    <t>기타교육부대수입</t>
  </si>
  <si>
    <t>교육외수입</t>
  </si>
  <si>
    <t>예금이자수입</t>
  </si>
  <si>
    <t>예금이자</t>
  </si>
  <si>
    <t>기타교육외수입</t>
  </si>
  <si>
    <t>잡수입</t>
  </si>
  <si>
    <t>고정부채입금</t>
  </si>
  <si>
    <t>기초유동자산</t>
  </si>
  <si>
    <t>교원상여금</t>
  </si>
  <si>
    <t>교원제수당</t>
  </si>
  <si>
    <t>교원법정부담금</t>
  </si>
  <si>
    <t>시간강의료</t>
  </si>
  <si>
    <t>직원보수</t>
  </si>
  <si>
    <t>직원급여</t>
  </si>
  <si>
    <t>직원상여금</t>
  </si>
  <si>
    <t>직원제수당</t>
  </si>
  <si>
    <t>임시직인건비</t>
  </si>
  <si>
    <t>직원퇴직금</t>
  </si>
  <si>
    <t>관리운영비</t>
  </si>
  <si>
    <t>건축물관리비</t>
  </si>
  <si>
    <t>장비관리비</t>
  </si>
  <si>
    <t>조경관리비</t>
  </si>
  <si>
    <t xml:space="preserve">시설용역비 </t>
  </si>
  <si>
    <t>보험료</t>
  </si>
  <si>
    <t>시설관리비</t>
  </si>
  <si>
    <t>여비교통비</t>
  </si>
  <si>
    <t>차량유지비</t>
  </si>
  <si>
    <t>소모품비</t>
  </si>
  <si>
    <t>통신비</t>
  </si>
  <si>
    <t>제세공과금</t>
  </si>
  <si>
    <t>복리후생비</t>
  </si>
  <si>
    <t>교육훈련비</t>
  </si>
  <si>
    <t>홍보비</t>
  </si>
  <si>
    <t>회의비</t>
  </si>
  <si>
    <t>행사비</t>
  </si>
  <si>
    <t>기타운영비</t>
  </si>
  <si>
    <t>운영비</t>
  </si>
  <si>
    <t>연구학생경비</t>
  </si>
  <si>
    <t>연구비</t>
  </si>
  <si>
    <t>학생경비</t>
  </si>
  <si>
    <t>논문심사료</t>
  </si>
  <si>
    <t>학생지원비</t>
  </si>
  <si>
    <t>기타학생경비</t>
  </si>
  <si>
    <t>입시수당</t>
  </si>
  <si>
    <t>지급이자</t>
  </si>
  <si>
    <t>기타교육외비용</t>
  </si>
  <si>
    <t>잡손실</t>
  </si>
  <si>
    <t>전출금</t>
  </si>
  <si>
    <t>전출금</t>
  </si>
  <si>
    <t>예비비</t>
  </si>
  <si>
    <t>예비비</t>
  </si>
  <si>
    <t>기계기구매입비</t>
  </si>
  <si>
    <t>고정부채상환</t>
  </si>
  <si>
    <t xml:space="preserve">기타고정부채상환
</t>
  </si>
  <si>
    <t>국제스포츠레저학부(4)</t>
  </si>
  <si>
    <t>입시수수료수입</t>
  </si>
  <si>
    <t>증명료</t>
  </si>
  <si>
    <t>교원보수</t>
  </si>
  <si>
    <t>직원법정부담금</t>
  </si>
  <si>
    <t>직원퇴직금</t>
  </si>
  <si>
    <t>관리운영비</t>
  </si>
  <si>
    <t>일반관리비</t>
  </si>
  <si>
    <t>인쇄출판비</t>
  </si>
  <si>
    <t>난방비</t>
  </si>
  <si>
    <t>전기수도료</t>
  </si>
  <si>
    <t>지급수수료</t>
  </si>
  <si>
    <t>업무추진비</t>
  </si>
  <si>
    <t>학생경비</t>
  </si>
  <si>
    <t>입시관리비</t>
  </si>
  <si>
    <t>교육외비용</t>
  </si>
  <si>
    <t>예비비</t>
  </si>
  <si>
    <t>유형고정자산매입지출</t>
  </si>
  <si>
    <t>5210</t>
  </si>
  <si>
    <t>보수</t>
  </si>
  <si>
    <t xml:space="preserve">시설용역비 </t>
  </si>
  <si>
    <t>"별지명세서첨부"</t>
  </si>
  <si>
    <t>통번역학(4)</t>
  </si>
  <si>
    <t>산출근거</t>
  </si>
  <si>
    <t xml:space="preserve">지 출 의 부 </t>
  </si>
  <si>
    <t>특별강의료</t>
  </si>
  <si>
    <t>교외장학금</t>
  </si>
  <si>
    <t>교내장학금</t>
  </si>
  <si>
    <t>투자와기타자산지출</t>
  </si>
  <si>
    <t>기타자산지출</t>
  </si>
  <si>
    <t>전입금수입</t>
  </si>
  <si>
    <t>대여료및사용료</t>
  </si>
  <si>
    <t>기타고정부채</t>
  </si>
  <si>
    <t>임대보증금수입</t>
  </si>
  <si>
    <t>등록금회계 자금예산서</t>
  </si>
  <si>
    <t xml:space="preserve">수 입 의 부 </t>
  </si>
  <si>
    <t>과                목</t>
  </si>
  <si>
    <t xml:space="preserve">관 </t>
  </si>
  <si>
    <t xml:space="preserve">항 </t>
  </si>
  <si>
    <t>목</t>
  </si>
  <si>
    <t>등록금수입</t>
  </si>
  <si>
    <t>5110</t>
  </si>
  <si>
    <t>입학금</t>
  </si>
  <si>
    <t>5112</t>
  </si>
  <si>
    <t>5120</t>
  </si>
  <si>
    <t>단기수강료</t>
  </si>
  <si>
    <t>법정부담전입금</t>
  </si>
  <si>
    <t>기타국고지원</t>
  </si>
  <si>
    <t>지방자치단체</t>
  </si>
  <si>
    <t>산학협력단전입금</t>
  </si>
  <si>
    <t>논문심사료수입</t>
  </si>
  <si>
    <t>임대보증금수입</t>
  </si>
  <si>
    <t>교원급여</t>
  </si>
  <si>
    <t>교원퇴직금</t>
  </si>
  <si>
    <t>리스임차료</t>
  </si>
  <si>
    <t>일반용역비</t>
  </si>
  <si>
    <t>실험실습비</t>
  </si>
  <si>
    <t>기타학생경비</t>
  </si>
  <si>
    <t>입시경비</t>
  </si>
  <si>
    <t>토지매입비</t>
  </si>
  <si>
    <t>집기비품매입비</t>
  </si>
  <si>
    <t>도서구입비</t>
  </si>
  <si>
    <t>건설가계정</t>
  </si>
  <si>
    <t>장기차입금상환</t>
  </si>
  <si>
    <t>장기미지급금상환</t>
  </si>
  <si>
    <t>학부</t>
  </si>
  <si>
    <t>경영대학원(주간)</t>
  </si>
  <si>
    <t>경영대학원(야간)</t>
  </si>
  <si>
    <t>정치행정언론대학원</t>
  </si>
  <si>
    <t>일반대학원</t>
  </si>
  <si>
    <t xml:space="preserve">수 입 의 부 </t>
  </si>
  <si>
    <t>등록금수입</t>
  </si>
  <si>
    <t>5110</t>
  </si>
  <si>
    <t>5111</t>
  </si>
  <si>
    <t>입학금</t>
  </si>
  <si>
    <t>학부</t>
  </si>
  <si>
    <t>경영대학원(야간)</t>
  </si>
  <si>
    <t>교육대학원</t>
  </si>
  <si>
    <t>국제지역대학원</t>
  </si>
  <si>
    <t>법학전문대학원</t>
  </si>
  <si>
    <t>일반대학원</t>
  </si>
  <si>
    <t>정치행정언론대학원</t>
  </si>
  <si>
    <t>통번역대학원</t>
  </si>
  <si>
    <t>TESOL대학원</t>
  </si>
  <si>
    <t>5112</t>
  </si>
  <si>
    <t>등록금</t>
  </si>
  <si>
    <t>교육대학원</t>
  </si>
  <si>
    <t>국제지역대학원</t>
  </si>
  <si>
    <t>법학전문대학원</t>
  </si>
  <si>
    <t>수강료수입</t>
  </si>
  <si>
    <t>5121</t>
  </si>
  <si>
    <t>단기수강료</t>
  </si>
  <si>
    <t>전입및기부수입</t>
  </si>
  <si>
    <t>법정부담전입금</t>
  </si>
  <si>
    <t>교내전입금</t>
  </si>
  <si>
    <t>국고보조금수입</t>
  </si>
  <si>
    <t>정부초청장학금</t>
  </si>
  <si>
    <t>EU-ICI교육협력사업</t>
  </si>
  <si>
    <t>기타국고지원</t>
  </si>
  <si>
    <t>산학협력단및학교기업전입금</t>
  </si>
  <si>
    <t>수험료</t>
  </si>
  <si>
    <t>석좌교수인건비지원</t>
  </si>
  <si>
    <t>교양체육실습비</t>
  </si>
  <si>
    <t>논문심사료수입</t>
  </si>
  <si>
    <t>잡수입</t>
  </si>
  <si>
    <t>학교시설임대매장보증금수입(창보,매장)</t>
  </si>
  <si>
    <t>교원상여금</t>
  </si>
  <si>
    <t>교원법정부담금</t>
  </si>
  <si>
    <t>임시직인건비</t>
  </si>
  <si>
    <t>보험료</t>
  </si>
  <si>
    <t>인쇄출판비</t>
  </si>
  <si>
    <t>난방비</t>
  </si>
  <si>
    <t>전기수도료</t>
  </si>
  <si>
    <t>지급수수료</t>
  </si>
  <si>
    <t>업무추진비</t>
  </si>
  <si>
    <t>행사비</t>
  </si>
  <si>
    <t>연구학생경비</t>
  </si>
  <si>
    <t>연구비</t>
  </si>
  <si>
    <t>학생지원비</t>
  </si>
  <si>
    <t>입시수당</t>
  </si>
  <si>
    <t>예비비</t>
  </si>
  <si>
    <t xml:space="preserve">고정자산매입지출
</t>
  </si>
  <si>
    <t>교원급여</t>
  </si>
  <si>
    <t>TESOL전문교육원</t>
  </si>
  <si>
    <t>사학연금</t>
  </si>
  <si>
    <t>국민연금</t>
  </si>
  <si>
    <t>건강보험</t>
  </si>
  <si>
    <t>고용보험</t>
  </si>
  <si>
    <t>산재보험</t>
  </si>
  <si>
    <t>학부</t>
  </si>
  <si>
    <t>직원제수당</t>
  </si>
  <si>
    <t>임시직인건비</t>
  </si>
  <si>
    <t>건물유지보수관리비</t>
  </si>
  <si>
    <t>기타설비부문관리비</t>
  </si>
  <si>
    <t>보일러설비부문관리비</t>
  </si>
  <si>
    <t>위생설비관리비</t>
  </si>
  <si>
    <t>전기부문관리비</t>
  </si>
  <si>
    <t>기계기구수리관리비</t>
  </si>
  <si>
    <t>기타장비관리비</t>
  </si>
  <si>
    <t>집기비품수리관리비</t>
  </si>
  <si>
    <t>통신장비관리비</t>
  </si>
  <si>
    <t>옥외조경관리비</t>
  </si>
  <si>
    <t>수목조경관리비</t>
  </si>
  <si>
    <t>청소및경비용역비</t>
  </si>
  <si>
    <t>오물수거료</t>
  </si>
  <si>
    <t>기타시설용역비</t>
  </si>
  <si>
    <t>한문원기숙사임차료</t>
  </si>
  <si>
    <t>복사기임대료</t>
  </si>
  <si>
    <t>국유지대부료</t>
  </si>
  <si>
    <t>장비대여료</t>
  </si>
  <si>
    <t>차량유류비</t>
  </si>
  <si>
    <t>기타소모품비</t>
  </si>
  <si>
    <t>도서관용소모품비</t>
  </si>
  <si>
    <t>사무용소모품비</t>
  </si>
  <si>
    <t>수업용소모품비</t>
  </si>
  <si>
    <t>음용수구입비</t>
  </si>
  <si>
    <t>전산용소모품비</t>
  </si>
  <si>
    <t>청소및위생용품</t>
  </si>
  <si>
    <t>각종인쇄</t>
  </si>
  <si>
    <t>인쇄비(용지,소모품)</t>
  </si>
  <si>
    <t>도시가스 요금</t>
  </si>
  <si>
    <t>난방용 유류</t>
  </si>
  <si>
    <t>전기요금</t>
  </si>
  <si>
    <t>상하수도 요금</t>
  </si>
  <si>
    <t>우편료</t>
  </si>
  <si>
    <t>전화 요금</t>
  </si>
  <si>
    <t>협의회비</t>
  </si>
  <si>
    <t>부서운영비</t>
  </si>
  <si>
    <t>특근비</t>
  </si>
  <si>
    <t>교원해외연수비</t>
  </si>
  <si>
    <t>각종업무추진비</t>
  </si>
  <si>
    <t>학교기념품제작비</t>
  </si>
  <si>
    <t>각종회의비</t>
  </si>
  <si>
    <t>학위수여식경비</t>
  </si>
  <si>
    <t>교원정년퇴임식</t>
  </si>
  <si>
    <t>교직원행사보조</t>
  </si>
  <si>
    <t>위탁연수경비</t>
  </si>
  <si>
    <t>기타운영경비</t>
  </si>
  <si>
    <t>교내학술연구비</t>
  </si>
  <si>
    <t>독회및콜로키움지원</t>
  </si>
  <si>
    <t>연구소운영비</t>
  </si>
  <si>
    <t>교외장학금</t>
  </si>
  <si>
    <t>시청각실습비</t>
  </si>
  <si>
    <t>실험실습폐기물처리비</t>
  </si>
  <si>
    <t>전산실습비</t>
  </si>
  <si>
    <t>각대학원논문심사료</t>
  </si>
  <si>
    <t>고시반지원비</t>
  </si>
  <si>
    <t>보건체련비</t>
  </si>
  <si>
    <t>학과운영비</t>
  </si>
  <si>
    <t>각대학원논총보조비</t>
  </si>
  <si>
    <t>최고경영자과정경비</t>
  </si>
  <si>
    <t>예비군기본교육훈련비</t>
  </si>
  <si>
    <t>취업관련경비</t>
  </si>
  <si>
    <t>대학원</t>
  </si>
  <si>
    <t>사학진흥재단차입금이자</t>
  </si>
  <si>
    <t>예비비</t>
  </si>
  <si>
    <t>사무용기계기구</t>
  </si>
  <si>
    <t>교육용기계기구</t>
  </si>
  <si>
    <t>중앙도서관도서</t>
  </si>
  <si>
    <t>법학전문대학원도서</t>
  </si>
  <si>
    <t>사학진흥재단장기차입금상환</t>
  </si>
  <si>
    <t>예금이자수입</t>
  </si>
  <si>
    <t>자금지출총계</t>
  </si>
  <si>
    <t>미사용전기이월자금</t>
  </si>
  <si>
    <t>한국외국어대학교</t>
  </si>
  <si>
    <t>5211</t>
  </si>
  <si>
    <t>경상비전입금</t>
  </si>
  <si>
    <t>각종평가경비</t>
  </si>
  <si>
    <t>근로조교장학금등</t>
  </si>
  <si>
    <t>신체검사비</t>
  </si>
  <si>
    <t>잡손실(등록금차액환불등)</t>
  </si>
  <si>
    <t>합계</t>
  </si>
  <si>
    <t>교  비  회  계</t>
  </si>
  <si>
    <t>외국어연수평가원전입금</t>
  </si>
  <si>
    <t>국제지역대학원(KOICA등)</t>
  </si>
  <si>
    <t>차량리스임대료</t>
  </si>
  <si>
    <t>예 산 부 속 명 세 서</t>
  </si>
  <si>
    <t>GKS장학금</t>
  </si>
  <si>
    <t>임대매장 대여료 및 사용료</t>
  </si>
  <si>
    <t>온라인강의경비</t>
  </si>
  <si>
    <t>I외대온라인경비</t>
  </si>
  <si>
    <t>각대응연구비</t>
  </si>
  <si>
    <t>각연구경비등</t>
  </si>
  <si>
    <t>기타교육실습비</t>
  </si>
  <si>
    <t>EU-ICI사업</t>
  </si>
  <si>
    <t>투자와기타자산수입</t>
  </si>
  <si>
    <t>"별지명세서첨부"</t>
  </si>
  <si>
    <t>직원급여</t>
  </si>
  <si>
    <t>직원상여금</t>
  </si>
  <si>
    <t>직원법정부담금</t>
  </si>
  <si>
    <t>일반관리비</t>
  </si>
  <si>
    <t>제세공과금</t>
  </si>
  <si>
    <t>임의기금적립</t>
  </si>
  <si>
    <t>임의건축기금적립</t>
  </si>
  <si>
    <t>국민연금</t>
  </si>
  <si>
    <t>학 교 법 인  동원육영회</t>
  </si>
  <si>
    <t>한 국 외 국 어 대 학 교</t>
  </si>
  <si>
    <t>학교법인 동원육영회</t>
  </si>
  <si>
    <t>법  인  회  계</t>
  </si>
  <si>
    <t>수  입  의  부</t>
  </si>
  <si>
    <t>지  출  의  부</t>
  </si>
  <si>
    <t>기타시설관리비</t>
  </si>
  <si>
    <t>일반용역비</t>
  </si>
  <si>
    <t>경 상 비 전 출 금</t>
  </si>
  <si>
    <t>법정부담전출금</t>
  </si>
  <si>
    <t>임의기금적립</t>
  </si>
  <si>
    <t>미사용차기이월자          금</t>
  </si>
  <si>
    <t>5211</t>
  </si>
  <si>
    <t>경상비전입금</t>
  </si>
  <si>
    <t xml:space="preserve">국제학사 </t>
  </si>
  <si>
    <t>시설관리용소모품비</t>
  </si>
  <si>
    <t>세금및공과금</t>
  </si>
  <si>
    <t>환경개선 부담금</t>
  </si>
  <si>
    <t>국제지역대학원</t>
  </si>
  <si>
    <t>대학원</t>
  </si>
  <si>
    <t>다문화교육원학생경비</t>
  </si>
  <si>
    <t>투자와기타자산지출</t>
  </si>
  <si>
    <t>시간강의료</t>
  </si>
  <si>
    <t>모현학사</t>
  </si>
  <si>
    <t>구분</t>
  </si>
  <si>
    <t>계열</t>
  </si>
  <si>
    <t>학  년</t>
  </si>
  <si>
    <t>입   학   금</t>
  </si>
  <si>
    <t>등   록   금</t>
  </si>
  <si>
    <t>합       계</t>
  </si>
  <si>
    <t>학생수</t>
  </si>
  <si>
    <t>1 인</t>
  </si>
  <si>
    <t>금    액</t>
  </si>
  <si>
    <t>금      액</t>
  </si>
  <si>
    <t xml:space="preserve">
대
학
</t>
  </si>
  <si>
    <t>인
문
.
사
회</t>
  </si>
  <si>
    <t>1학년</t>
  </si>
  <si>
    <t>통번역학(1)</t>
  </si>
  <si>
    <t>통번역학(2)</t>
  </si>
  <si>
    <t>통번역학(3)</t>
  </si>
  <si>
    <t>9회등록(3)</t>
  </si>
  <si>
    <t>9회등록(3)-통번역학</t>
  </si>
  <si>
    <t>9회등록(6)</t>
  </si>
  <si>
    <t>9회등록(6)-통번역학</t>
  </si>
  <si>
    <t>9회등록(9)</t>
  </si>
  <si>
    <t>9회등록(9)-통번역학</t>
  </si>
  <si>
    <t>9회등록(12)</t>
  </si>
  <si>
    <t>입학금</t>
  </si>
  <si>
    <t>계</t>
  </si>
  <si>
    <t>이학</t>
  </si>
  <si>
    <t>이공자유(1)</t>
  </si>
  <si>
    <t>국제스포츠레저학부(1)</t>
  </si>
  <si>
    <t>국제스포츠레저학부(3)</t>
  </si>
  <si>
    <t>9회등록(3)-국제스포츠</t>
  </si>
  <si>
    <t>9회등록(6)-국제스포츠</t>
  </si>
  <si>
    <t>2학기</t>
  </si>
  <si>
    <t>학부합계</t>
  </si>
  <si>
    <t>일 반</t>
  </si>
  <si>
    <t>재학생</t>
  </si>
  <si>
    <t>3학점</t>
  </si>
  <si>
    <t>연구등록</t>
  </si>
  <si>
    <t>이학</t>
  </si>
  <si>
    <t>공학</t>
  </si>
  <si>
    <t>합계</t>
  </si>
  <si>
    <t>신입생(석)</t>
  </si>
  <si>
    <t>재학생(석)</t>
  </si>
  <si>
    <t>재학생(박)</t>
  </si>
  <si>
    <t>신입생(박)</t>
  </si>
  <si>
    <t>입학금(박)</t>
  </si>
  <si>
    <t>재  학  생</t>
  </si>
  <si>
    <t>경영원㈜</t>
  </si>
  <si>
    <t>교육</t>
  </si>
  <si>
    <t>TESOL</t>
  </si>
  <si>
    <t>법학전문</t>
  </si>
  <si>
    <t>학부및 대학원계</t>
  </si>
  <si>
    <t>산학협력단전입금</t>
  </si>
  <si>
    <t>대학원</t>
  </si>
  <si>
    <t>교직원여비교통비</t>
  </si>
  <si>
    <t>지역전문가과정 연구비</t>
  </si>
  <si>
    <t>운영비</t>
  </si>
  <si>
    <t>기타복리후생비</t>
  </si>
  <si>
    <t>기타운영비</t>
  </si>
  <si>
    <t>집기비품매입비</t>
  </si>
  <si>
    <t>임의기금인출수입</t>
  </si>
  <si>
    <t>교원보수</t>
  </si>
  <si>
    <t>교원제수당</t>
  </si>
  <si>
    <t>자 금 예 산 서</t>
  </si>
  <si>
    <t>(A-B)</t>
  </si>
  <si>
    <t>5220</t>
  </si>
  <si>
    <t>기부금수입</t>
  </si>
  <si>
    <t>임의건축기금인출</t>
  </si>
  <si>
    <t>임의기타기금인출</t>
  </si>
  <si>
    <t>설 치 학 교</t>
  </si>
  <si>
    <t>토지매입비</t>
  </si>
  <si>
    <t>지정기부금</t>
  </si>
  <si>
    <t>리스임차료</t>
  </si>
  <si>
    <t>기말유동자산</t>
  </si>
  <si>
    <t>국제지역</t>
  </si>
  <si>
    <t>대학원</t>
  </si>
  <si>
    <t>정치행정언론</t>
  </si>
  <si>
    <t>이공계열실험실습비및기자재관리비</t>
  </si>
  <si>
    <t>대학원행사보조비(대학원운영및외부지원사업등)</t>
  </si>
  <si>
    <t>학부행사보조비(단대운영비및경비등)</t>
  </si>
  <si>
    <t>(단위:천원)</t>
  </si>
  <si>
    <t>5100  등록금수입</t>
  </si>
  <si>
    <t>4100  보       수</t>
  </si>
  <si>
    <t>5110  등록금수입</t>
  </si>
  <si>
    <t>4110  교원보수</t>
  </si>
  <si>
    <t>4111  교원급여</t>
  </si>
  <si>
    <t>4112  교원상여금</t>
  </si>
  <si>
    <t>4113  교원제수당</t>
  </si>
  <si>
    <t>4114  교원법정부담금</t>
  </si>
  <si>
    <t>5120  수강료수입</t>
  </si>
  <si>
    <t xml:space="preserve">        - 사학연금부담금</t>
  </si>
  <si>
    <t xml:space="preserve">        - 국민연금부담금</t>
  </si>
  <si>
    <t xml:space="preserve">        - 건강보험부담금</t>
  </si>
  <si>
    <t xml:space="preserve">        - 고용·산재보험담금</t>
  </si>
  <si>
    <t>4115  시간강의료</t>
  </si>
  <si>
    <t>4116  특별강의료</t>
  </si>
  <si>
    <t>4117  교원퇴직금</t>
  </si>
  <si>
    <t>4118  조교인건비</t>
  </si>
  <si>
    <t>5200  전입및기부수입</t>
  </si>
  <si>
    <t>4120  직원보수</t>
  </si>
  <si>
    <t>5210  전입금수입</t>
  </si>
  <si>
    <t>4121  직원급여</t>
  </si>
  <si>
    <t>5211  경상비전입금</t>
  </si>
  <si>
    <t>4122  직원상여금</t>
  </si>
  <si>
    <t>4123  직원제수당</t>
  </si>
  <si>
    <t xml:space="preserve"> - 연금부담금</t>
  </si>
  <si>
    <t>4124  직원법정부담금</t>
  </si>
  <si>
    <t xml:space="preserve"> - 건강보험금</t>
  </si>
  <si>
    <t xml:space="preserve"> - 산재보험금</t>
  </si>
  <si>
    <t xml:space="preserve"> - 고용보험금</t>
  </si>
  <si>
    <t xml:space="preserve"> - 기타</t>
  </si>
  <si>
    <t>5213  자산전입금</t>
  </si>
  <si>
    <t xml:space="preserve"> - 자금전입금</t>
  </si>
  <si>
    <t>4125  임시직인건비</t>
  </si>
  <si>
    <t xml:space="preserve"> - 현물전입금</t>
  </si>
  <si>
    <t>4126  노  임</t>
  </si>
  <si>
    <t>5214  부속병원전입금</t>
  </si>
  <si>
    <t>4127  직원퇴직금</t>
  </si>
  <si>
    <t>5215  특별회계전입금</t>
  </si>
  <si>
    <t>4200  관리운영비</t>
  </si>
  <si>
    <t>5216  교내전입금</t>
  </si>
  <si>
    <t>4210  시설관리비</t>
  </si>
  <si>
    <t>5217  수익사업전입금</t>
  </si>
  <si>
    <t>4211  건축물관리비</t>
  </si>
  <si>
    <t>4212  장비관리비</t>
  </si>
  <si>
    <t>5220  기부금수입</t>
  </si>
  <si>
    <t>4213  조경관리비</t>
  </si>
  <si>
    <t>5221  일반기부금</t>
  </si>
  <si>
    <t>4214  박물관관리비</t>
  </si>
  <si>
    <t xml:space="preserve"> - 기업체</t>
  </si>
  <si>
    <t>4215  시설용역비</t>
  </si>
  <si>
    <t xml:space="preserve"> - 단체및기관</t>
  </si>
  <si>
    <t>4216  보험료</t>
  </si>
  <si>
    <t xml:space="preserve"> - 개인</t>
  </si>
  <si>
    <t>4217  리스임차료</t>
  </si>
  <si>
    <t>5222  지정기부금</t>
  </si>
  <si>
    <t>4219  기타시설관리비</t>
  </si>
  <si>
    <t>4220  일반관리비</t>
  </si>
  <si>
    <t>5223  연구기부금</t>
  </si>
  <si>
    <t>4221  여비교통비</t>
  </si>
  <si>
    <t>4222  차량유지비</t>
  </si>
  <si>
    <t>4223  소모품비</t>
  </si>
  <si>
    <t>4224  인쇄출판비</t>
  </si>
  <si>
    <t>5230  국고보조금수입</t>
  </si>
  <si>
    <t>4225  난방비</t>
  </si>
  <si>
    <t>4226  전기수도료</t>
  </si>
  <si>
    <t>4227  통신비</t>
  </si>
  <si>
    <t>5240 산학협력단 및 학교기업 전입금</t>
  </si>
  <si>
    <t>4229  지급수수료</t>
  </si>
  <si>
    <t>5241  산학협력단전입금</t>
  </si>
  <si>
    <t>4230  운영비</t>
  </si>
  <si>
    <t>5242  학교기업전입금</t>
  </si>
  <si>
    <t>4231  복리후생비</t>
  </si>
  <si>
    <t>4232  교육훈련비</t>
  </si>
  <si>
    <t>4233  일반용역비</t>
  </si>
  <si>
    <t>4234  업무추진비</t>
  </si>
  <si>
    <t>4235  홍보비</t>
  </si>
  <si>
    <t>4236  회의비</t>
  </si>
  <si>
    <t>4237  행사비</t>
  </si>
  <si>
    <t>4238  선교비</t>
  </si>
  <si>
    <t>4239  기타운영비</t>
  </si>
  <si>
    <t>5300  교육부대수입</t>
  </si>
  <si>
    <t>4300  연구학생경비</t>
  </si>
  <si>
    <t>5310  입시수수료수입</t>
  </si>
  <si>
    <t>4310  연구비</t>
  </si>
  <si>
    <t>5311  입학원서대</t>
  </si>
  <si>
    <t>4311  연구비</t>
  </si>
  <si>
    <t>5312  수험료</t>
  </si>
  <si>
    <t>4312  연구관리비</t>
  </si>
  <si>
    <t>5320  증명사용료수입</t>
  </si>
  <si>
    <t>4320  학생경비</t>
  </si>
  <si>
    <t>5321  증명료</t>
  </si>
  <si>
    <t>5322  대여료및사용료</t>
  </si>
  <si>
    <t>5330  기타교육부대수입</t>
  </si>
  <si>
    <t>5331  논문심사수입</t>
  </si>
  <si>
    <t>4324  논문심사료</t>
  </si>
  <si>
    <t>5332  실습수입</t>
  </si>
  <si>
    <t>4325  학생지원비</t>
  </si>
  <si>
    <t>5339  기타교육부대수입</t>
  </si>
  <si>
    <t>4329  기타학생경비</t>
  </si>
  <si>
    <t>4330  입시관리비</t>
  </si>
  <si>
    <t>4331  입시수당</t>
  </si>
  <si>
    <t>4332  입시경비</t>
  </si>
  <si>
    <t>5400  교육외수입</t>
  </si>
  <si>
    <t>4400  교육외비용</t>
  </si>
  <si>
    <t>5410  예금이자수입</t>
  </si>
  <si>
    <t>4410  지급이자</t>
  </si>
  <si>
    <t>5420  기타교육외수입</t>
  </si>
  <si>
    <t>4420  기타교육외비용</t>
  </si>
  <si>
    <t>5421  잡수입</t>
  </si>
  <si>
    <t>4421  잡손실</t>
  </si>
  <si>
    <t>4500  전 출 금</t>
  </si>
  <si>
    <t>4510  전 출 금</t>
  </si>
  <si>
    <t>4515  특별회계전출금</t>
  </si>
  <si>
    <t>4516  교내전출금</t>
  </si>
  <si>
    <t>4540 산학협력단 및 학교기업 전출금</t>
  </si>
  <si>
    <t>4541  산학협력단전출금</t>
  </si>
  <si>
    <t>4542  학교기업전출금</t>
  </si>
  <si>
    <t>4600  예 비 비</t>
  </si>
  <si>
    <t xml:space="preserve">운  영  수  입  </t>
  </si>
  <si>
    <t xml:space="preserve">운  영  지  출 </t>
  </si>
  <si>
    <t>1200  투자와기타자산수입</t>
  </si>
  <si>
    <t>1200  투자와기타자산지출</t>
  </si>
  <si>
    <t>1220  투자자산수입</t>
  </si>
  <si>
    <t>1220  투자자산지출</t>
  </si>
  <si>
    <t>1221  투자유가증권매각대</t>
  </si>
  <si>
    <t>1221  투자유가증권매입대</t>
  </si>
  <si>
    <t>1222  출자금회수</t>
  </si>
  <si>
    <t>1229  기타투자자산지출</t>
  </si>
  <si>
    <t>1229  기타투자자산수입</t>
  </si>
  <si>
    <t>1240  기타자산수입</t>
  </si>
  <si>
    <t>1240  기타자산지출</t>
  </si>
  <si>
    <t>1241  전신전화보증금회수</t>
  </si>
  <si>
    <t>1241  전신전화보증금지출</t>
  </si>
  <si>
    <t>1242  임차보증금회수</t>
  </si>
  <si>
    <t>1242  임차보증금지출</t>
  </si>
  <si>
    <t>1243  장기대여금지출</t>
  </si>
  <si>
    <t>1249  기타자산수입</t>
  </si>
  <si>
    <t>1249  기타자산지출</t>
  </si>
  <si>
    <t>1250  원금보존기금인출수입</t>
  </si>
  <si>
    <t>1250  원금보전기금적립</t>
  </si>
  <si>
    <t>1252  원금보전연구기금인출</t>
  </si>
  <si>
    <t>1252  원금보전연구기금적립</t>
  </si>
  <si>
    <t>1253  원금보전건축기금인출</t>
  </si>
  <si>
    <t>1253  원금보전건축기금적립</t>
  </si>
  <si>
    <t>1254  원금보전장학기금인출</t>
  </si>
  <si>
    <t>1254  원금보전장학기금적립</t>
  </si>
  <si>
    <t>1255  원금보전기타기금인출</t>
  </si>
  <si>
    <t>1255  원금보전기타기금적립</t>
  </si>
  <si>
    <t>1260  임의기금인출수입</t>
  </si>
  <si>
    <t>1262  임의연구기금인출</t>
  </si>
  <si>
    <t>1262  임의연구기금적립</t>
  </si>
  <si>
    <t>1263  임의건축기금인출</t>
  </si>
  <si>
    <t>1263  임의건축기금적립</t>
  </si>
  <si>
    <t>1264  임의장학기금인출</t>
  </si>
  <si>
    <t>1264  임의장학기금적립</t>
  </si>
  <si>
    <t>1265  임의퇴직기금인출</t>
  </si>
  <si>
    <t>1265  임의퇴직기금적립</t>
  </si>
  <si>
    <t>1266  임의기타기금인출</t>
  </si>
  <si>
    <t>1266  임의기타기금적립</t>
  </si>
  <si>
    <t>1300  고정자산매각수입</t>
  </si>
  <si>
    <t>1300  고정자산매입지출</t>
  </si>
  <si>
    <t>1310  유형고정자산매각수입</t>
  </si>
  <si>
    <t>1310  유형고정자산매입지출</t>
  </si>
  <si>
    <t>1311  토지매각대</t>
  </si>
  <si>
    <t>1311  토지매입비</t>
  </si>
  <si>
    <t>1312  건물매각대</t>
  </si>
  <si>
    <t>1312  건물매입비</t>
  </si>
  <si>
    <t>1313  구축물매각대</t>
  </si>
  <si>
    <t>1313  구축물매입비</t>
  </si>
  <si>
    <t>1314  기계기구매각대</t>
  </si>
  <si>
    <t>1314  기계기구매입비</t>
  </si>
  <si>
    <t>1315  집기비품매각대</t>
  </si>
  <si>
    <t>1315  집기비품매입비</t>
  </si>
  <si>
    <t>1316  차량운반구매각대</t>
  </si>
  <si>
    <t>1316  차량운반구매입비</t>
  </si>
  <si>
    <t>1317  도서매각대</t>
  </si>
  <si>
    <t>1317  도서구입비</t>
  </si>
  <si>
    <t>1318  유물매각대</t>
  </si>
  <si>
    <t>1318  박물관유물구입비</t>
  </si>
  <si>
    <t>1320  무형고정자산매각수입</t>
  </si>
  <si>
    <t>1319  건설가계정</t>
  </si>
  <si>
    <t>1320  무형고정자산취득비</t>
  </si>
  <si>
    <t>2100  유동부채입금</t>
  </si>
  <si>
    <t>2100  유동부채상환</t>
  </si>
  <si>
    <t>2200  고정부채입금</t>
  </si>
  <si>
    <t>2200  고정부채상환</t>
  </si>
  <si>
    <t>2210  장기차입금</t>
  </si>
  <si>
    <t>2210  장기차입금상환</t>
  </si>
  <si>
    <t>2211  장기차입금차입</t>
  </si>
  <si>
    <t>2211  장기차입금상환</t>
  </si>
  <si>
    <t>2212  차관도입</t>
  </si>
  <si>
    <t>2212  차관상환</t>
  </si>
  <si>
    <t>2213  학교채매각</t>
  </si>
  <si>
    <t>2213  학교채상환</t>
  </si>
  <si>
    <t>2220  기타고정부채</t>
  </si>
  <si>
    <t>2220  기타고정부채상환</t>
  </si>
  <si>
    <t>2221  임대보증금수입</t>
  </si>
  <si>
    <t>2221  임대보증금환급</t>
  </si>
  <si>
    <t>2229  기타고정부채수입</t>
  </si>
  <si>
    <t>2222  장기미지급금상환</t>
  </si>
  <si>
    <t>2229  기타고정부채상환</t>
  </si>
  <si>
    <t>부 채 및 기 본 금 수 입</t>
  </si>
  <si>
    <t>부 채 및 기 본 금 지 출</t>
  </si>
  <si>
    <t>미사용 전기이월자금</t>
  </si>
  <si>
    <t>미사용 차기이월자금</t>
  </si>
  <si>
    <t>자 금 수 입 총 계</t>
  </si>
  <si>
    <t>자 금 지 출 총 계</t>
  </si>
  <si>
    <t>(단위:천원)</t>
  </si>
  <si>
    <t>수입의부</t>
  </si>
  <si>
    <t>교비회계</t>
  </si>
  <si>
    <t>증감(D-E)</t>
  </si>
  <si>
    <t xml:space="preserve">     A. 등 록 금 수 입</t>
  </si>
  <si>
    <t xml:space="preserve">     A. 보    수</t>
  </si>
  <si>
    <t xml:space="preserve">     B. 전 입 및 기 부 수 입</t>
  </si>
  <si>
    <t xml:space="preserve">     B. 관 리 운 영 비</t>
  </si>
  <si>
    <t xml:space="preserve">     C. 교 육 부 대 수 입</t>
  </si>
  <si>
    <t xml:space="preserve">     C. 연 구 학 생 경 비</t>
  </si>
  <si>
    <t xml:space="preserve">     D. 교 육 외 수 입</t>
  </si>
  <si>
    <t xml:space="preserve">     D. 교 육 외 비 용</t>
  </si>
  <si>
    <t xml:space="preserve">     E. 전 출 금</t>
  </si>
  <si>
    <t xml:space="preserve">     F. 예 비 비</t>
  </si>
  <si>
    <t xml:space="preserve">     Ⅰ. 운 영 수 입(A + B + C + D)</t>
  </si>
  <si>
    <t xml:space="preserve">     Ⅰ. 운 영 지 출(A + B + C + D + E + F)</t>
  </si>
  <si>
    <t xml:space="preserve">     E. 투 자 와 기 타 자 산 수 입</t>
  </si>
  <si>
    <t xml:space="preserve">     G. 투 자 와 기 타 자 산 지 출</t>
  </si>
  <si>
    <t xml:space="preserve">     F. 고 정 자 산 매 각 수 입</t>
  </si>
  <si>
    <t xml:space="preserve">     H. 고 정 자 산 매 입 지 출</t>
  </si>
  <si>
    <t xml:space="preserve">     G. 유 동 부 채 입 금</t>
  </si>
  <si>
    <t xml:space="preserve">     I. 유 동 부 채 상 환</t>
  </si>
  <si>
    <t xml:space="preserve">     H. 고 정 부 채 입 금</t>
  </si>
  <si>
    <t xml:space="preserve">     J. 고 정 부 채 상 환</t>
  </si>
  <si>
    <t xml:space="preserve">     I. 기본금</t>
  </si>
  <si>
    <t xml:space="preserve">     Ⅱ. 부채 및 기본금수입(E + F + G + H+ I)</t>
  </si>
  <si>
    <t xml:space="preserve">     Ⅱ. 부채 및 기본금지출(G + H + I + J)</t>
  </si>
  <si>
    <t xml:space="preserve">    Ⅲ. 전 기 이 월 자 금</t>
  </si>
  <si>
    <t xml:space="preserve">    Ⅲ. 차 기 이 월 자 금</t>
  </si>
  <si>
    <t xml:space="preserve">     자 금 수 입 총 계(Ⅰ + Ⅱ + Ⅲ )</t>
  </si>
  <si>
    <t xml:space="preserve">     자 금 지 출 총 계(Ⅰ + Ⅱ + Ⅲ )</t>
  </si>
  <si>
    <t>5111  학부입학금</t>
  </si>
  <si>
    <t>5112  대학원입학금</t>
  </si>
  <si>
    <t>5113  학부수업료</t>
  </si>
  <si>
    <t>5114  대학원수업료</t>
  </si>
  <si>
    <t>5121  단기수강료</t>
  </si>
  <si>
    <t xml:space="preserve">        - 기타</t>
  </si>
  <si>
    <t>5212  법정부담전입금</t>
  </si>
  <si>
    <t>5218  등록금회계전입금</t>
  </si>
  <si>
    <t>5231 교육부</t>
  </si>
  <si>
    <t>5232 기타국고지원</t>
  </si>
  <si>
    <t>5233 지방자치단체지원</t>
  </si>
  <si>
    <t>4228  각종세금공과금</t>
  </si>
  <si>
    <t>4321 교외장학금</t>
  </si>
  <si>
    <t>4322 교내장학금</t>
  </si>
  <si>
    <t>4323  실험실습비</t>
  </si>
  <si>
    <t>5411  예금이자</t>
  </si>
  <si>
    <t>4411   지급이자</t>
  </si>
  <si>
    <t>4519  비등록금회계전출금</t>
  </si>
  <si>
    <t>4610   예비비</t>
  </si>
  <si>
    <t>4611  예비비</t>
  </si>
  <si>
    <t>1224  학교기업투자자산지출</t>
  </si>
  <si>
    <t>1224  학교기업투자자산회수</t>
  </si>
  <si>
    <t>1243  장기대여금회수</t>
  </si>
  <si>
    <t>1260    임의기금적립</t>
  </si>
  <si>
    <t>1321  무형고정자산매각대</t>
  </si>
  <si>
    <t>1321  무형고정자산취득비</t>
  </si>
  <si>
    <t>2110   단기차입금</t>
  </si>
  <si>
    <t>2110   단기차입금상환</t>
  </si>
  <si>
    <t>2111  단기차입금차입</t>
  </si>
  <si>
    <t>2111  단기차입금상환</t>
  </si>
  <si>
    <t>3100   기본금</t>
  </si>
  <si>
    <t>3110   출연기본금</t>
  </si>
  <si>
    <t>3112  법인</t>
  </si>
  <si>
    <t>인건비 명세서</t>
  </si>
  <si>
    <t>구분</t>
  </si>
  <si>
    <t>직급</t>
  </si>
  <si>
    <t>항목</t>
  </si>
  <si>
    <t>인원수(A)</t>
  </si>
  <si>
    <t>인건비총액(B)</t>
  </si>
  <si>
    <t>1인당평균액(B/A)</t>
  </si>
  <si>
    <t>비고</t>
  </si>
  <si>
    <t>기본급(급여)</t>
  </si>
  <si>
    <t>고정수당</t>
  </si>
  <si>
    <t>고정상여금</t>
  </si>
  <si>
    <t>보직수당</t>
  </si>
  <si>
    <t>(단위:원)</t>
  </si>
  <si>
    <t>직원</t>
  </si>
  <si>
    <t>직급수당</t>
  </si>
  <si>
    <t>정근수당</t>
  </si>
  <si>
    <t>별정수당</t>
  </si>
  <si>
    <t>실적수당</t>
  </si>
  <si>
    <t>시간외수당</t>
  </si>
  <si>
    <t>복리후생비</t>
  </si>
  <si>
    <t>급량비</t>
  </si>
  <si>
    <t>소계</t>
  </si>
  <si>
    <t>합  계</t>
  </si>
  <si>
    <t>교원</t>
  </si>
  <si>
    <t>학기</t>
  </si>
  <si>
    <t>1학기</t>
  </si>
  <si>
    <t>공
학</t>
  </si>
  <si>
    <t xml:space="preserve"> 소계</t>
  </si>
  <si>
    <t>2학기</t>
  </si>
  <si>
    <t>인문
사회</t>
  </si>
  <si>
    <t>신입생</t>
  </si>
  <si>
    <t>계</t>
  </si>
  <si>
    <t>이학</t>
  </si>
  <si>
    <t>연구등록</t>
  </si>
  <si>
    <t>소계</t>
  </si>
  <si>
    <t>입학금(석)</t>
  </si>
  <si>
    <t>1학기</t>
  </si>
  <si>
    <t>입  학   금</t>
  </si>
  <si>
    <r>
      <t>국제지역</t>
    </r>
    <r>
      <rPr>
        <sz val="7"/>
        <rFont val="궁서체"/>
        <family val="1"/>
      </rPr>
      <t>(Upeace)</t>
    </r>
  </si>
  <si>
    <t>인문
사회</t>
  </si>
  <si>
    <t>경영원(야)</t>
  </si>
  <si>
    <t>신입생(박)</t>
  </si>
  <si>
    <t>재학생(박)</t>
  </si>
  <si>
    <t>입학금(신)</t>
  </si>
  <si>
    <t>입학금(박)</t>
  </si>
  <si>
    <t>대학원계</t>
  </si>
  <si>
    <t>(2014. 3. 1부터 2015. 2. 28까지)</t>
  </si>
  <si>
    <t>5121</t>
  </si>
  <si>
    <t>교내전입금</t>
  </si>
  <si>
    <t>수험료</t>
  </si>
  <si>
    <t>산출근거</t>
  </si>
  <si>
    <t>투자와기타</t>
  </si>
  <si>
    <t>특별강의료</t>
  </si>
  <si>
    <t>교원퇴직금</t>
  </si>
  <si>
    <t>교내장학금</t>
  </si>
  <si>
    <t>임차보증금지출</t>
  </si>
  <si>
    <t>차량운반구매입비</t>
  </si>
  <si>
    <t>매입지출</t>
  </si>
  <si>
    <t>유형고정자산</t>
  </si>
  <si>
    <t>고정자산</t>
  </si>
  <si>
    <t>기부금수입</t>
  </si>
  <si>
    <t>지정기부금</t>
  </si>
  <si>
    <t>임의기금인출수입</t>
  </si>
  <si>
    <t>임의연구기금인출</t>
  </si>
  <si>
    <t>임의건축기금인출</t>
  </si>
  <si>
    <t>임의장학기금인출</t>
  </si>
  <si>
    <t>임의기타기금인출</t>
  </si>
  <si>
    <t>등록금회계전출금</t>
  </si>
  <si>
    <t>임의기금적립</t>
  </si>
  <si>
    <t>임의연구기금적립</t>
  </si>
  <si>
    <t>임의건축기금적립</t>
  </si>
  <si>
    <t>임의장학기금적립</t>
  </si>
  <si>
    <t>임의기타기금적립</t>
  </si>
  <si>
    <t>L&amp;D학부(1)</t>
  </si>
  <si>
    <t>5113</t>
  </si>
  <si>
    <t>학부입학금</t>
  </si>
  <si>
    <t>학부수업료</t>
  </si>
  <si>
    <t>대학원수업료</t>
  </si>
  <si>
    <t>대학원입학금</t>
  </si>
  <si>
    <t>교육부</t>
  </si>
  <si>
    <t>계절학기</t>
  </si>
  <si>
    <t>퇴직금</t>
  </si>
  <si>
    <t>시간강사</t>
  </si>
  <si>
    <t>특별강사</t>
  </si>
  <si>
    <t>법정부담금</t>
  </si>
  <si>
    <t>정규직</t>
  </si>
  <si>
    <t>임시직</t>
  </si>
  <si>
    <t>인건비</t>
  </si>
  <si>
    <t>등록금회계 자금예산서</t>
  </si>
  <si>
    <t>비등록금회계 자금예산서</t>
  </si>
  <si>
    <t xml:space="preserve">등  록  금  회  계 </t>
  </si>
  <si>
    <t>비 등 록 금 회 계</t>
  </si>
  <si>
    <t>항목별 예산 부속명세서(등록금회계)</t>
  </si>
  <si>
    <t>항목별 예산 부속명세서(비등록금회계)</t>
  </si>
  <si>
    <t>외 국 어 연 수 평 가 원</t>
  </si>
  <si>
    <t>공학</t>
  </si>
  <si>
    <t>1학기</t>
  </si>
  <si>
    <t>2학기</t>
  </si>
  <si>
    <t>교육</t>
  </si>
  <si>
    <t>법학전문</t>
  </si>
  <si>
    <t>(2014. 3. 1부터 2015. 2. 28까지)</t>
  </si>
  <si>
    <t>초과강의수당</t>
  </si>
  <si>
    <t>계절학기강의료</t>
  </si>
  <si>
    <t>대단위강의료</t>
  </si>
  <si>
    <t>사이버강의료</t>
  </si>
  <si>
    <t>급량비</t>
  </si>
  <si>
    <t>자녀학비보조</t>
  </si>
  <si>
    <t>소계</t>
  </si>
  <si>
    <t>교원인건비</t>
  </si>
  <si>
    <t>교원상여금</t>
  </si>
  <si>
    <t>교원수당</t>
  </si>
  <si>
    <t>직원인건비</t>
  </si>
  <si>
    <t>직원상여금</t>
  </si>
  <si>
    <t>재해복구및공제화재보험료</t>
  </si>
  <si>
    <t>외국인교원초빙항공료</t>
  </si>
  <si>
    <t>운송료및 인터넷경비</t>
  </si>
  <si>
    <t>폐기물처리용역비</t>
  </si>
  <si>
    <t>신축본관이사용역비</t>
  </si>
  <si>
    <t>학교홍보인쇄물제작</t>
  </si>
  <si>
    <t>홈페이지관리및기타홍보비</t>
  </si>
  <si>
    <t>대외협력행사홍보비</t>
  </si>
  <si>
    <t>하계교수간담회,전체학과장회의</t>
  </si>
  <si>
    <t>개교60주년및기타행사비</t>
  </si>
  <si>
    <t>국제지역대학원연구비</t>
  </si>
  <si>
    <t>신문,방송비</t>
  </si>
  <si>
    <t>글로벌스쿨버스차량위탁</t>
  </si>
  <si>
    <t>외국인교환학생관련경비</t>
  </si>
  <si>
    <t>계절학기경비</t>
  </si>
  <si>
    <t>취업경비</t>
  </si>
  <si>
    <t>시청각기계기구</t>
  </si>
  <si>
    <t>신문방송실험실습기계기구</t>
  </si>
  <si>
    <t>이공계실험실습기계기구</t>
  </si>
  <si>
    <t>기타기계기구</t>
  </si>
  <si>
    <t>기타도서</t>
  </si>
  <si>
    <t>법정부담전입금(사학연금)</t>
  </si>
  <si>
    <t>학교발전기금</t>
  </si>
  <si>
    <t>외부장학금</t>
  </si>
  <si>
    <t>경영관건립(건축기금)</t>
  </si>
  <si>
    <t>장학기부금</t>
  </si>
  <si>
    <t>학과발전기금</t>
  </si>
  <si>
    <t>지정기부금(기타)</t>
  </si>
  <si>
    <t>법학전문대학원</t>
  </si>
  <si>
    <t>국가장학금</t>
  </si>
  <si>
    <t>법전원리걸클리닉지원금</t>
  </si>
  <si>
    <t>6.25참전용사 장학금- 한국전쟁기념재단</t>
  </si>
  <si>
    <t>국가유공자장학금-보훈청(서울,수원)</t>
  </si>
  <si>
    <t>국제개발협력이해증진사업지원-국제협력단</t>
  </si>
  <si>
    <t>기타국고지원금-재외기관</t>
  </si>
  <si>
    <t>다문화사회전문가양성과정-법무부</t>
  </si>
  <si>
    <t>사우디정부초청(등록금,장학금,한국어연수비)</t>
  </si>
  <si>
    <t>사회통합프로그램지원-법무부</t>
  </si>
  <si>
    <t>세종학당한국어위탁과정-세계화재단</t>
  </si>
  <si>
    <t>여대생 취업지원사업-여성가족부</t>
  </si>
  <si>
    <t>외국인장기자랑-법무부</t>
  </si>
  <si>
    <t>재외동포재단(행정지도비,장학금,한국어연수비)</t>
  </si>
  <si>
    <t>중국지역 조선어교원 초청연수비</t>
  </si>
  <si>
    <t>지역전문가양성(KF Global E-School사업)</t>
  </si>
  <si>
    <t>청년취업,직장체험프로그램연수(노동부)</t>
  </si>
  <si>
    <t>한국어교사양성지원금-koica</t>
  </si>
  <si>
    <t>CIS지역 한국어교사초청연수비</t>
  </si>
  <si>
    <t>KIEP국제지역전문가양성-대외경제</t>
  </si>
  <si>
    <t>지방자치단체</t>
  </si>
  <si>
    <t>강남구청장학금</t>
  </si>
  <si>
    <t>동대문구민아카데미</t>
  </si>
  <si>
    <t>바우바우시교사초청연수</t>
  </si>
  <si>
    <t>수입증지대</t>
  </si>
  <si>
    <t>각대학원종합시험응시료-기타교육부대수입</t>
  </si>
  <si>
    <t>국제사회교육원 교육부대 수입</t>
  </si>
  <si>
    <t>기타교육부대수입</t>
  </si>
  <si>
    <t>신체검사료-기타교육부대수입</t>
  </si>
  <si>
    <t>영어토론대회(중,고)-YTN</t>
  </si>
  <si>
    <t>외국어교육센터 방과후 교육비</t>
  </si>
  <si>
    <t>외국어시험응시료(국제사회교육원)</t>
  </si>
  <si>
    <t>외국인학생기숙사비-국제학생지원팀</t>
  </si>
  <si>
    <t>한국대학신문기관토플수입</t>
  </si>
  <si>
    <t>한국어문화교육원 교육부대 수입</t>
  </si>
  <si>
    <t>TESOL전문교육원 교육부대수입</t>
  </si>
  <si>
    <t>연구기금인출</t>
  </si>
  <si>
    <t>건축기금인출</t>
  </si>
  <si>
    <t>장학기금인출</t>
  </si>
  <si>
    <t>기타기금인출</t>
  </si>
  <si>
    <t>국제여름학기강사료</t>
  </si>
  <si>
    <t>한국어문화교육원</t>
  </si>
  <si>
    <t>외국어교육센터</t>
  </si>
  <si>
    <t>국제지역대학원 지역전문가과정</t>
  </si>
  <si>
    <t>TESOL전문교육원</t>
  </si>
  <si>
    <t>최고경영자과정</t>
  </si>
  <si>
    <t>비전임교원퇴직금</t>
  </si>
  <si>
    <t>직원인건비</t>
  </si>
  <si>
    <t>출장여행자보험</t>
  </si>
  <si>
    <t>TESOL전문교육원 복사기임대료</t>
  </si>
  <si>
    <t>우편요금 및 DM발송비</t>
  </si>
  <si>
    <t>부서운영비및경조사비</t>
  </si>
  <si>
    <t>직무교육비및수련회비</t>
  </si>
  <si>
    <t>학교행사비</t>
  </si>
  <si>
    <t>연구장려금</t>
  </si>
  <si>
    <t>BK21연구대응자금전출</t>
  </si>
  <si>
    <t>외국인학생지원경비</t>
  </si>
  <si>
    <t>임의연구기금적립</t>
  </si>
  <si>
    <t>임의장학기금적립</t>
  </si>
  <si>
    <t>임의기타기금적립</t>
  </si>
  <si>
    <t>연구기금적립</t>
  </si>
  <si>
    <t>건축기금적립</t>
  </si>
  <si>
    <t>장학기금적립</t>
  </si>
  <si>
    <t>기타기금적립</t>
  </si>
  <si>
    <t>글로벌신본관건물토지매입</t>
  </si>
  <si>
    <t>글로벌캠퍼스 신본관공사비</t>
  </si>
  <si>
    <t>차량할부금</t>
  </si>
  <si>
    <t>투자와기타자산수입</t>
  </si>
  <si>
    <t>고정자산매입지출</t>
  </si>
  <si>
    <t>투자와기타자산지출</t>
  </si>
  <si>
    <t>유형고정자산매입지출</t>
  </si>
  <si>
    <t>산학협력단및학교기업전입금</t>
  </si>
  <si>
    <t>증명,사용료수입</t>
  </si>
  <si>
    <t>미사용전기이월자금</t>
  </si>
  <si>
    <t>내부거래제거(C)</t>
  </si>
  <si>
    <t>실적수당</t>
  </si>
  <si>
    <t>자녀학비보조</t>
  </si>
  <si>
    <t>제수당</t>
  </si>
  <si>
    <t>퇴직금</t>
  </si>
  <si>
    <t>소계</t>
  </si>
  <si>
    <t>교원</t>
  </si>
  <si>
    <t>특별강의료</t>
  </si>
  <si>
    <t>등록금수입</t>
  </si>
  <si>
    <t>5120</t>
  </si>
  <si>
    <t>수강료수입</t>
  </si>
  <si>
    <t>5121</t>
  </si>
  <si>
    <t>단기수강료</t>
  </si>
  <si>
    <t>교육부대수입</t>
  </si>
  <si>
    <t xml:space="preserve">증명, 사용료 </t>
  </si>
  <si>
    <t>수입</t>
  </si>
  <si>
    <t>증명료</t>
  </si>
  <si>
    <t>대여료및사용료</t>
  </si>
  <si>
    <t xml:space="preserve">기타교육부대수입
</t>
  </si>
  <si>
    <t>기타교육부대수입</t>
  </si>
  <si>
    <t>교육외수입</t>
  </si>
  <si>
    <t>예금이자수입</t>
  </si>
  <si>
    <t>예금이자</t>
  </si>
  <si>
    <t>기타교육외수입</t>
  </si>
  <si>
    <t>잡수입</t>
  </si>
  <si>
    <t>투자와기타</t>
  </si>
  <si>
    <t>자산수입</t>
  </si>
  <si>
    <t>기타자산수입</t>
  </si>
  <si>
    <t>임차보증금회수</t>
  </si>
  <si>
    <t>미사용전기</t>
  </si>
  <si>
    <t>이월자금</t>
  </si>
  <si>
    <t>기초유동자산</t>
  </si>
  <si>
    <t>자금수입총계</t>
  </si>
  <si>
    <t>(2014. 3. 1부터 2015. 2. 28까지)</t>
  </si>
  <si>
    <t>교내전출금</t>
  </si>
  <si>
    <t>교육외비용</t>
  </si>
  <si>
    <t>외 국 어 연 수평 가 원</t>
  </si>
  <si>
    <t>수도료</t>
  </si>
  <si>
    <t>국  제  학  사</t>
  </si>
  <si>
    <t>별정수당</t>
  </si>
  <si>
    <t>증명, 사용료수입</t>
  </si>
  <si>
    <t>모  현  학  사</t>
  </si>
  <si>
    <t>(2014. 3. 1부터 2015. 2. 28까지)</t>
  </si>
  <si>
    <t>(2014. 3. 1부터 2015. 2. 28까지)</t>
  </si>
  <si>
    <t>비 등 록 금 회 계</t>
  </si>
  <si>
    <t>기타학생지원비(외국인학생지원,교수학습등)</t>
  </si>
  <si>
    <t>2014학년도</t>
  </si>
  <si>
    <t>(A-B)</t>
  </si>
  <si>
    <t>증감(-)</t>
  </si>
  <si>
    <t>이공계실험실습비</t>
  </si>
  <si>
    <t>자 금 예 산 서</t>
  </si>
  <si>
    <t>(2014. 3. 1부터 2015. 2. 28까지)</t>
  </si>
  <si>
    <t xml:space="preserve">수 입 의 부 </t>
  </si>
  <si>
    <t>과                목</t>
  </si>
  <si>
    <t>산  출  근  거</t>
  </si>
  <si>
    <t xml:space="preserve">관 </t>
  </si>
  <si>
    <t xml:space="preserve">항 </t>
  </si>
  <si>
    <t>목</t>
  </si>
  <si>
    <t>전입및기부수입</t>
  </si>
  <si>
    <t>"별지명세서첨부"</t>
  </si>
  <si>
    <t>5220</t>
  </si>
  <si>
    <t>기부금수입</t>
  </si>
  <si>
    <t>일반기부금</t>
  </si>
  <si>
    <t>지 정 기부 금</t>
  </si>
  <si>
    <t>교육외수입</t>
  </si>
  <si>
    <t>예금이자수입</t>
  </si>
  <si>
    <t>예금이자</t>
  </si>
  <si>
    <t>기타교육외수입</t>
  </si>
  <si>
    <t>잡수입</t>
  </si>
  <si>
    <t>투자와기타자산수입</t>
  </si>
  <si>
    <t>임의기금인출수입</t>
  </si>
  <si>
    <t>임의건축기금인출</t>
  </si>
  <si>
    <t>임의기타기금인출</t>
  </si>
  <si>
    <t>미사용전기이월자금</t>
  </si>
  <si>
    <t>기초유동자산</t>
  </si>
  <si>
    <t>자금수입총계</t>
  </si>
  <si>
    <t xml:space="preserve">  (2014. 3. 1부터 2015. 2. 28까지)</t>
  </si>
  <si>
    <t>원 격 대 학</t>
  </si>
  <si>
    <t>임의건축기금적립</t>
  </si>
  <si>
    <t>임의기타기금적립</t>
  </si>
  <si>
    <t>항목별 예산 세부명세서</t>
  </si>
  <si>
    <t>산출근거</t>
  </si>
  <si>
    <t>금액</t>
  </si>
  <si>
    <t xml:space="preserve">지 출 의 부 </t>
  </si>
  <si>
    <t>인건비 명세서</t>
  </si>
  <si>
    <t>(단위:원)</t>
  </si>
  <si>
    <t>구분</t>
  </si>
  <si>
    <t>직급</t>
  </si>
  <si>
    <t>항목</t>
  </si>
  <si>
    <t>인원수(A)</t>
  </si>
  <si>
    <t>인건비총액(B)</t>
  </si>
  <si>
    <t>1인당평균액(B/A)</t>
  </si>
  <si>
    <t>비고</t>
  </si>
  <si>
    <t>직원</t>
  </si>
  <si>
    <t>정규직</t>
  </si>
  <si>
    <t>별정직</t>
  </si>
  <si>
    <t>기본급(급여)</t>
  </si>
  <si>
    <t>고정수당</t>
  </si>
  <si>
    <t>고정상여금</t>
  </si>
  <si>
    <t>제수당</t>
  </si>
  <si>
    <t>실적수당</t>
  </si>
  <si>
    <t>시간외수당</t>
  </si>
  <si>
    <t>복리후생비</t>
  </si>
  <si>
    <t>급량비</t>
  </si>
  <si>
    <t>자녀학비보조</t>
  </si>
  <si>
    <t>소계</t>
  </si>
  <si>
    <t>임시직</t>
  </si>
  <si>
    <t>인건비</t>
  </si>
  <si>
    <t>법정부담금</t>
  </si>
  <si>
    <t>퇴직금</t>
  </si>
  <si>
    <t>합  계</t>
  </si>
  <si>
    <t>9회등록(9)-국제스포츠</t>
  </si>
  <si>
    <t>2014학년도</t>
  </si>
  <si>
    <t>증감(-)</t>
  </si>
  <si>
    <t>추경예산액(A)</t>
  </si>
  <si>
    <t>본예산액(B)</t>
  </si>
  <si>
    <t>본예산 (E)</t>
  </si>
  <si>
    <t>본예산(E)</t>
  </si>
  <si>
    <t>학교기업전입금</t>
  </si>
  <si>
    <t>고정자산매각수입</t>
  </si>
  <si>
    <t>차량운반구매각대</t>
  </si>
  <si>
    <t>도서매각대</t>
  </si>
  <si>
    <t>유형고정자산매각수입</t>
  </si>
  <si>
    <t>조경관리비</t>
  </si>
  <si>
    <t>기타자산지출</t>
  </si>
  <si>
    <t>기타자산지출</t>
  </si>
  <si>
    <t>임차보증금지출</t>
  </si>
  <si>
    <t>9회등록(9)-국제스포츠</t>
  </si>
  <si>
    <t>3학점</t>
  </si>
  <si>
    <t>연구등록</t>
  </si>
  <si>
    <t>연구등록</t>
  </si>
  <si>
    <t>3학점</t>
  </si>
  <si>
    <t>경영대학원(주,야간)</t>
  </si>
  <si>
    <t>경영대학원(주야간)</t>
  </si>
  <si>
    <t>교육외수입</t>
  </si>
  <si>
    <t>5410</t>
  </si>
  <si>
    <t>5411</t>
  </si>
  <si>
    <t>예금이자</t>
  </si>
  <si>
    <t>5420</t>
  </si>
  <si>
    <t>기타교육외수입</t>
  </si>
  <si>
    <t>5421</t>
  </si>
  <si>
    <t>잡수입</t>
  </si>
  <si>
    <t>예금이자수입</t>
  </si>
  <si>
    <t>법정부담전입금(법학전문대학원)</t>
  </si>
  <si>
    <t>교원퇴직금</t>
  </si>
  <si>
    <t>교원퇴직금</t>
  </si>
  <si>
    <t>직원퇴직금</t>
  </si>
  <si>
    <t>직원퇴직금</t>
  </si>
  <si>
    <t>옥외방수공사</t>
  </si>
  <si>
    <t>차량수리비및 주차통행료</t>
  </si>
  <si>
    <t>백년관블라인드 및 카페트제작</t>
  </si>
  <si>
    <t>학력검증비용</t>
  </si>
  <si>
    <t>교직원단체보험</t>
  </si>
  <si>
    <t>교양관1층보존서고자료이전</t>
  </si>
  <si>
    <t>석면조사, 정기안전검사</t>
  </si>
  <si>
    <t>각종일반용역비(법정 검사등)</t>
  </si>
  <si>
    <t>기타연구비</t>
  </si>
  <si>
    <t>6.25참전용사지원경비</t>
  </si>
  <si>
    <t>기타학생경비</t>
  </si>
  <si>
    <t>백년관 강의실A/V시설 기계기구</t>
  </si>
  <si>
    <t>백년관 전산기기 구입비(PC,모니터)</t>
  </si>
  <si>
    <t>백년관 네트워크 구축비</t>
  </si>
  <si>
    <t>집기비품</t>
  </si>
  <si>
    <t>백년관 집기비품</t>
  </si>
  <si>
    <t>이공계집기비품</t>
  </si>
  <si>
    <t>교양관1츷 보존서고서가</t>
  </si>
  <si>
    <t>교원제수당</t>
  </si>
  <si>
    <t>사업지원처 단기수강료</t>
  </si>
  <si>
    <t>공교육정상화사업지원금</t>
  </si>
  <si>
    <t>글로벌현장학습지원금</t>
  </si>
  <si>
    <t>특성화사업지원금</t>
  </si>
  <si>
    <t>영재교육원연수지원금</t>
  </si>
  <si>
    <t>모의유엔대회지원금</t>
  </si>
  <si>
    <t>학교기업전입금</t>
  </si>
  <si>
    <t>i외대전입금</t>
  </si>
  <si>
    <t>KOICA사업지원금</t>
  </si>
  <si>
    <t>영재교육원 영어캠프수강료</t>
  </si>
  <si>
    <t>결혼이민자 통번역시험인증수입</t>
  </si>
  <si>
    <t>대천수련원이용료 및 광고 잡수입</t>
  </si>
  <si>
    <t>유형고정자산매각수입</t>
  </si>
  <si>
    <t>차량운반구</t>
  </si>
  <si>
    <t>도서매각대</t>
  </si>
  <si>
    <t>학교버스매각대</t>
  </si>
  <si>
    <t>도서매각대</t>
  </si>
  <si>
    <t>교원상여금</t>
  </si>
  <si>
    <t>대학원</t>
  </si>
  <si>
    <t>법학전문대학원</t>
  </si>
  <si>
    <t>정치행정언론대학원</t>
  </si>
  <si>
    <t>통번역대학원</t>
  </si>
  <si>
    <t>임시직직원퇴직금</t>
  </si>
  <si>
    <t>건물유지보수부문관리비</t>
  </si>
  <si>
    <t>보일러설비부문관리비</t>
  </si>
  <si>
    <t>위생설비부문관리비</t>
  </si>
  <si>
    <t>전기부문관리비</t>
  </si>
  <si>
    <t>구기숙사(여학생)개보수공사</t>
  </si>
  <si>
    <t>글로벌후생관리모델링및 패스트푸드공사</t>
  </si>
  <si>
    <t>폐수처리장 노후설비 교체공사</t>
  </si>
  <si>
    <t>기계기구수리관리비</t>
  </si>
  <si>
    <t>기타장비관리비</t>
  </si>
  <si>
    <t>집기비품수리관리비</t>
  </si>
  <si>
    <t>통신장비관리비</t>
  </si>
  <si>
    <t>오물수거료</t>
  </si>
  <si>
    <t>청소및경비용역비</t>
  </si>
  <si>
    <t>차량임대료</t>
  </si>
  <si>
    <t>사업지원처 해외인턴쉽출장비</t>
  </si>
  <si>
    <t>시설관리용소모품</t>
  </si>
  <si>
    <t>수업진행용소모품</t>
  </si>
  <si>
    <t>사무용소모품</t>
  </si>
  <si>
    <t>신문및정기간행물구독료</t>
  </si>
  <si>
    <t>음용수구입소모품</t>
  </si>
  <si>
    <t>전산용소모품</t>
  </si>
  <si>
    <t>청소및위생용소모품</t>
  </si>
  <si>
    <t>기타소모품</t>
  </si>
  <si>
    <t>난방용유류비</t>
  </si>
  <si>
    <t>도시가스비</t>
  </si>
  <si>
    <t>전기료</t>
  </si>
  <si>
    <t>세금및공과금</t>
  </si>
  <si>
    <t>퇴직연금운용수수료, 셔틀버스매각 조기상환수수료</t>
  </si>
  <si>
    <t>기타교육훈련비</t>
  </si>
  <si>
    <t>신문방송광고료</t>
  </si>
  <si>
    <t>대외협력행사홍보비</t>
  </si>
  <si>
    <t>학교기념품제작비</t>
  </si>
  <si>
    <t>학교홍보인쇄물제작</t>
  </si>
  <si>
    <t>홈페이지관리및 기타홍보비</t>
  </si>
  <si>
    <t>정년퇴임식행사비</t>
  </si>
  <si>
    <t>졸업식행사비</t>
  </si>
  <si>
    <t xml:space="preserve">사업지원처 </t>
  </si>
  <si>
    <t>학과운영비</t>
  </si>
  <si>
    <t>KOICA, KF-Global학생지원비</t>
  </si>
  <si>
    <t>대학원학생지원비</t>
  </si>
  <si>
    <t>각종시험지원경비</t>
  </si>
  <si>
    <t>기타학생지원비</t>
  </si>
  <si>
    <t>사업지원처 학생경비</t>
  </si>
  <si>
    <t>YTN영어토론대회경비</t>
  </si>
  <si>
    <t>기타학생지원비</t>
  </si>
  <si>
    <t>교육용전산기계기구</t>
  </si>
  <si>
    <t>사무용전산기계기구</t>
  </si>
  <si>
    <t>신본관관련기계기구</t>
  </si>
  <si>
    <t>이공계열기계기구</t>
  </si>
  <si>
    <t>기타기계기구</t>
  </si>
  <si>
    <t>교육용집기비품구입</t>
  </si>
  <si>
    <t>신본관집기비품구입</t>
  </si>
  <si>
    <t>서울캠퍼스기숙사설계비</t>
  </si>
  <si>
    <t>창업보육센터시설공사</t>
  </si>
  <si>
    <t>연수평가원리모델링공사</t>
  </si>
  <si>
    <t>조경관리비</t>
  </si>
  <si>
    <t>수목조경관리비</t>
  </si>
  <si>
    <t>기타자산지출</t>
  </si>
  <si>
    <t>기타자산지출</t>
  </si>
  <si>
    <t>임차보증금지출</t>
  </si>
  <si>
    <t>임차보증금지출</t>
  </si>
  <si>
    <t>기타자산지출</t>
  </si>
  <si>
    <t>예금이자수입</t>
  </si>
  <si>
    <t>예금이자수입</t>
  </si>
  <si>
    <t>등록금환불차액</t>
  </si>
  <si>
    <t>잡수입</t>
  </si>
  <si>
    <t>이월자금</t>
  </si>
  <si>
    <t>기초유동자산</t>
  </si>
  <si>
    <t>자금수입총계</t>
  </si>
  <si>
    <t>추경예산액(A)</t>
  </si>
  <si>
    <t>본예산액(B)</t>
  </si>
  <si>
    <t>대여료및사용료</t>
  </si>
  <si>
    <t xml:space="preserve">기타교육부대수입
</t>
  </si>
  <si>
    <t>기타교육부대수입</t>
  </si>
  <si>
    <t>교육외수입</t>
  </si>
  <si>
    <t>예금이자수입</t>
  </si>
  <si>
    <t>예금이자</t>
  </si>
  <si>
    <t>기타교육외수입</t>
  </si>
  <si>
    <t>미사용전기</t>
  </si>
  <si>
    <t>비등록금회계 자금예산서</t>
  </si>
  <si>
    <t>(2014. 3. 1부터 2015. 2. 28까지)</t>
  </si>
  <si>
    <t xml:space="preserve">지 출 의 부 </t>
  </si>
  <si>
    <t>과                목</t>
  </si>
  <si>
    <t>2014학년도</t>
  </si>
  <si>
    <t>증감(-)</t>
  </si>
  <si>
    <t>산출근거</t>
  </si>
  <si>
    <t xml:space="preserve">관 </t>
  </si>
  <si>
    <t xml:space="preserve">항 </t>
  </si>
  <si>
    <t>목</t>
  </si>
  <si>
    <t>추경예산액(A)</t>
  </si>
  <si>
    <t>본예산액(B)</t>
  </si>
  <si>
    <t>(A-B)</t>
  </si>
  <si>
    <t>보수</t>
  </si>
  <si>
    <t>"별지명세서첨부"</t>
  </si>
  <si>
    <t>교 원 보 수</t>
  </si>
  <si>
    <t>교원제수당</t>
  </si>
  <si>
    <t>직원보수</t>
  </si>
  <si>
    <t>직원급여</t>
  </si>
  <si>
    <t>직원상여금</t>
  </si>
  <si>
    <t>직원제수당</t>
  </si>
  <si>
    <t>직원법정부담금</t>
  </si>
  <si>
    <t>임시직인건비</t>
  </si>
  <si>
    <t>직원퇴직금</t>
  </si>
  <si>
    <t>관리운영비</t>
  </si>
  <si>
    <t>시설관리비</t>
  </si>
  <si>
    <t>건축물관리비</t>
  </si>
  <si>
    <t>장비관리비</t>
  </si>
  <si>
    <t xml:space="preserve">시설용역비 </t>
  </si>
  <si>
    <t>보험료</t>
  </si>
  <si>
    <t>리스임차료</t>
  </si>
  <si>
    <t>일반관리비</t>
  </si>
  <si>
    <t>여비교통비</t>
  </si>
  <si>
    <t>소모품비</t>
  </si>
  <si>
    <t>인쇄출판비</t>
  </si>
  <si>
    <t>난방비</t>
  </si>
  <si>
    <t>전기수도료</t>
  </si>
  <si>
    <t>통신비</t>
  </si>
  <si>
    <t>제세공과금</t>
  </si>
  <si>
    <t>지급수수료</t>
  </si>
  <si>
    <t>운영비</t>
  </si>
  <si>
    <t>복리후생비</t>
  </si>
  <si>
    <t>업무추진비</t>
  </si>
  <si>
    <t>홍보비</t>
  </si>
  <si>
    <t>회의비</t>
  </si>
  <si>
    <t>기타운영비</t>
  </si>
  <si>
    <t>연구학생경비</t>
  </si>
  <si>
    <t>학생경비</t>
  </si>
  <si>
    <t>학생지원비</t>
  </si>
  <si>
    <t>기타학생경비</t>
  </si>
  <si>
    <t>교육외비용</t>
  </si>
  <si>
    <t>기타교육외비용</t>
  </si>
  <si>
    <t>잡손실</t>
  </si>
  <si>
    <t>전출금</t>
  </si>
  <si>
    <t>전출금</t>
  </si>
  <si>
    <t>교내전출금</t>
  </si>
  <si>
    <t>예비비</t>
  </si>
  <si>
    <t>예비비</t>
  </si>
  <si>
    <t>예비비</t>
  </si>
  <si>
    <t>투자와기타</t>
  </si>
  <si>
    <t>자산지출</t>
  </si>
  <si>
    <t>임의기금적립</t>
  </si>
  <si>
    <t>임의건축기금적립</t>
  </si>
  <si>
    <t>임의기타기금적립</t>
  </si>
  <si>
    <t>고정자산</t>
  </si>
  <si>
    <t>매입지출</t>
  </si>
  <si>
    <t>유형고정자산</t>
  </si>
  <si>
    <t>기계기구매입비</t>
  </si>
  <si>
    <t>집기비품매입비</t>
  </si>
  <si>
    <t>자금지출총계</t>
  </si>
  <si>
    <t>인건비 명세서</t>
  </si>
  <si>
    <t>(단위:원)</t>
  </si>
  <si>
    <t>구분</t>
  </si>
  <si>
    <t>직급</t>
  </si>
  <si>
    <t>항목</t>
  </si>
  <si>
    <t>인원수(A)</t>
  </si>
  <si>
    <t>인건비총액(B)</t>
  </si>
  <si>
    <t>1인당평균액(B/A)</t>
  </si>
  <si>
    <t>비고</t>
  </si>
  <si>
    <t>교원</t>
  </si>
  <si>
    <t>기본급(급여)</t>
  </si>
  <si>
    <t>고정수당</t>
  </si>
  <si>
    <t>고정상여금</t>
  </si>
  <si>
    <t>보직수당</t>
  </si>
  <si>
    <t>직급수당</t>
  </si>
  <si>
    <t>정근수당</t>
  </si>
  <si>
    <t>별정수당</t>
  </si>
  <si>
    <t>실적수당</t>
  </si>
  <si>
    <t>시간외수당</t>
  </si>
  <si>
    <t>학사장숙직비</t>
  </si>
  <si>
    <t>법정부담금</t>
  </si>
  <si>
    <t>퇴직금</t>
  </si>
  <si>
    <t>소계</t>
  </si>
  <si>
    <t>강사</t>
  </si>
  <si>
    <t>시간강사</t>
  </si>
  <si>
    <t>기본급</t>
  </si>
  <si>
    <t>영어기숙사강의료</t>
  </si>
  <si>
    <t>특별강사</t>
  </si>
  <si>
    <t>기본급</t>
  </si>
  <si>
    <t>법정부담금</t>
  </si>
  <si>
    <t>합  계</t>
  </si>
  <si>
    <t>직원</t>
  </si>
  <si>
    <t>정규직</t>
  </si>
  <si>
    <t>기본급(급여)</t>
  </si>
  <si>
    <t>고정수당</t>
  </si>
  <si>
    <t>고정상여금</t>
  </si>
  <si>
    <t>보직수당</t>
  </si>
  <si>
    <t>직급수당</t>
  </si>
  <si>
    <t>기술수당</t>
  </si>
  <si>
    <t>정근수당</t>
  </si>
  <si>
    <t>실적수당</t>
  </si>
  <si>
    <t>시간외수당</t>
  </si>
  <si>
    <t>학비보조금</t>
  </si>
  <si>
    <t>복리후생비</t>
  </si>
  <si>
    <t>급량비</t>
  </si>
  <si>
    <t>법정부담금</t>
  </si>
  <si>
    <t>소계</t>
  </si>
  <si>
    <t>인건비</t>
  </si>
  <si>
    <t>사감</t>
  </si>
  <si>
    <t>직원퇴직금</t>
  </si>
  <si>
    <t>법정부담금</t>
  </si>
  <si>
    <t>소계</t>
  </si>
  <si>
    <t>합  계</t>
  </si>
  <si>
    <t>항목별 예산 부속명세서(비등록금회계)</t>
  </si>
  <si>
    <t xml:space="preserve">수 입 의 부 </t>
  </si>
  <si>
    <t>금액</t>
  </si>
  <si>
    <t>산출근거</t>
  </si>
  <si>
    <t>교육부대수입</t>
  </si>
  <si>
    <t xml:space="preserve">증명, 사용료 
수          입 </t>
  </si>
  <si>
    <t>1학기:1,030,000(2인실)*600</t>
  </si>
  <si>
    <t>1학기:824,000(3인실)*44</t>
  </si>
  <si>
    <t>2학기:1,030,000(2인실)*600</t>
  </si>
  <si>
    <t>2학기:824,000(3인실)*50</t>
  </si>
  <si>
    <t>하계방학:515,000(2인실)*262</t>
  </si>
  <si>
    <t>하계방학:412,000(3인실)*318</t>
  </si>
  <si>
    <t>하계방학:215,000(2인실-단기)*162</t>
  </si>
  <si>
    <t>동계방학:579,000(2인실)*270</t>
  </si>
  <si>
    <t>동계방학:463,000(3인실)*150</t>
  </si>
  <si>
    <t>동계방학:257,000(2인실-단기)*100</t>
  </si>
  <si>
    <t>1학기:1,280,000(2인실)*136 -외부기숙사</t>
  </si>
  <si>
    <t>1학기:1,080,000(3인실)*12 -외부기숙사</t>
  </si>
  <si>
    <t>1학기:920,000(4인실)*32 -외부기숙사</t>
  </si>
  <si>
    <t>2학기:1,280,000(2인실)*136 -외부기숙사</t>
  </si>
  <si>
    <t>2학기:1,080,000(3인실)*12 -외부기숙사</t>
  </si>
  <si>
    <t>2학기:920,000(4인실)*32 -외부기숙사</t>
  </si>
  <si>
    <t>하계방학:720,000(2인실)*80 -외부기숙사</t>
  </si>
  <si>
    <t>동계방학:720,000(2인실)*80 -외부기숙사</t>
  </si>
  <si>
    <t>중도입사자</t>
  </si>
  <si>
    <t>각종예금이자수입</t>
  </si>
  <si>
    <t>잡수입</t>
  </si>
  <si>
    <t>당해년도기숙사비환불차액등</t>
  </si>
  <si>
    <t>미사용전기이월자금</t>
  </si>
  <si>
    <t>미사용전기이월자금</t>
  </si>
  <si>
    <t>교원보수</t>
  </si>
  <si>
    <t>교원당직비</t>
  </si>
  <si>
    <t>영어기숙사운영강의료</t>
  </si>
  <si>
    <t>직원급여</t>
  </si>
  <si>
    <t>직원상여금</t>
  </si>
  <si>
    <t>직원제수당</t>
  </si>
  <si>
    <t>직원법정부담금</t>
  </si>
  <si>
    <t>사학연금</t>
  </si>
  <si>
    <t>국민연금</t>
  </si>
  <si>
    <t>건강보험</t>
  </si>
  <si>
    <t>고용보험</t>
  </si>
  <si>
    <t>산재보험</t>
  </si>
  <si>
    <t>사감인건비</t>
  </si>
  <si>
    <t>사감퇴직금</t>
  </si>
  <si>
    <t>건물유지보수관리비</t>
  </si>
  <si>
    <t>승강기유지보수료</t>
  </si>
  <si>
    <t>시스템에어컨유지보수료</t>
  </si>
  <si>
    <t>급탕용지공온수보일러교체</t>
  </si>
  <si>
    <t>냉온수난방수도미터기교체</t>
  </si>
  <si>
    <t>기타건축물관리비</t>
  </si>
  <si>
    <t>기계기구수리관리비</t>
  </si>
  <si>
    <t>기타장비관리비</t>
  </si>
  <si>
    <t>청소및경비용역비</t>
  </si>
  <si>
    <t>기타시설용역비</t>
  </si>
  <si>
    <t>외부기숙사관리용역비</t>
  </si>
  <si>
    <t>시설보험료</t>
  </si>
  <si>
    <t>외부기숙사임차료</t>
  </si>
  <si>
    <t>무인택배임차료</t>
  </si>
  <si>
    <t>복합기리스료</t>
  </si>
  <si>
    <t>여비교통비</t>
  </si>
  <si>
    <t>직원여비교통비</t>
  </si>
  <si>
    <t>기숙사각호실소모품비</t>
  </si>
  <si>
    <t>사무용소모품비</t>
  </si>
  <si>
    <t>기타소모품비</t>
  </si>
  <si>
    <t>음용수구입소모품비</t>
  </si>
  <si>
    <t>청소및위생용소모품비</t>
  </si>
  <si>
    <t>인쇄비</t>
  </si>
  <si>
    <t>난방비</t>
  </si>
  <si>
    <t>도시가스료(국제학사)</t>
  </si>
  <si>
    <t>도시가스료(외부기숙사)</t>
  </si>
  <si>
    <t>전기수도료</t>
  </si>
  <si>
    <t>수도료(국제학사)</t>
  </si>
  <si>
    <t>수도료(외부기숙사)</t>
  </si>
  <si>
    <t>전기료(국제학사)</t>
  </si>
  <si>
    <t>전기료(외부기숙사)</t>
  </si>
  <si>
    <t>통신비</t>
  </si>
  <si>
    <t>인터넷사용료</t>
  </si>
  <si>
    <t>전화료외</t>
  </si>
  <si>
    <t>제세공과금</t>
  </si>
  <si>
    <t>각종협의회비</t>
  </si>
  <si>
    <t>송금수수료 및 각종수수료</t>
  </si>
  <si>
    <t>복리후생비</t>
  </si>
  <si>
    <t>업무추진비</t>
  </si>
  <si>
    <t>기타업무추진비</t>
  </si>
  <si>
    <t>기념품대</t>
  </si>
  <si>
    <t>각종회의비</t>
  </si>
  <si>
    <t>기타운영비</t>
  </si>
  <si>
    <t>사생회행사비 및 사생지원비</t>
  </si>
  <si>
    <t>기숙사생관련경비</t>
  </si>
  <si>
    <t>기타잡손실</t>
  </si>
  <si>
    <t>교내전출금</t>
  </si>
  <si>
    <t>차입금원금상환및이자</t>
  </si>
  <si>
    <t>건물감가상각분</t>
  </si>
  <si>
    <t>예비비</t>
  </si>
  <si>
    <t>투자와기타자산지출</t>
  </si>
  <si>
    <t>임의기금적립</t>
  </si>
  <si>
    <t>임의건축기금적립</t>
  </si>
  <si>
    <t>기금예금이자증가분적립</t>
  </si>
  <si>
    <t>임의기타기금적립</t>
  </si>
  <si>
    <t xml:space="preserve">고정자산매입지출
</t>
  </si>
  <si>
    <t>유형고정자산매입지출</t>
  </si>
  <si>
    <t>기계기구매입비</t>
  </si>
  <si>
    <t>사무용전산기계기구</t>
  </si>
  <si>
    <t>집기비품매입비</t>
  </si>
  <si>
    <t>자금지출총계</t>
  </si>
  <si>
    <t>임시직인건비</t>
  </si>
  <si>
    <t>관리운영비</t>
  </si>
  <si>
    <t>시설관리비</t>
  </si>
  <si>
    <t>건축물관리비</t>
  </si>
  <si>
    <t>장비관리비</t>
  </si>
  <si>
    <t>조경관리비</t>
  </si>
  <si>
    <t xml:space="preserve">시설용역비 </t>
  </si>
  <si>
    <t>보험료</t>
  </si>
  <si>
    <t>일반관리비</t>
  </si>
  <si>
    <t>여비교통비</t>
  </si>
  <si>
    <t>소모품비</t>
  </si>
  <si>
    <t>난방비</t>
  </si>
  <si>
    <t>전기수도료</t>
  </si>
  <si>
    <t>통신비</t>
  </si>
  <si>
    <t>제세공과금</t>
  </si>
  <si>
    <t>운영비</t>
  </si>
  <si>
    <t>복리후생비</t>
  </si>
  <si>
    <t>연구학생경비</t>
  </si>
  <si>
    <t>학생경비</t>
  </si>
  <si>
    <t>학생지원비</t>
  </si>
  <si>
    <t>기타학생경비</t>
  </si>
  <si>
    <t>예비비</t>
  </si>
  <si>
    <t>고정자산</t>
  </si>
  <si>
    <t>매입지출</t>
  </si>
  <si>
    <t>유형고정자산</t>
  </si>
  <si>
    <t>기계기구매입비</t>
  </si>
  <si>
    <t>집기비품매입비</t>
  </si>
  <si>
    <t>자금지출총계</t>
  </si>
  <si>
    <t>입사관리비</t>
  </si>
  <si>
    <t>사생활동비</t>
  </si>
  <si>
    <t>관리비</t>
  </si>
  <si>
    <t>롤스크린및우편함설치비</t>
  </si>
  <si>
    <t>장비관리및유지비</t>
  </si>
  <si>
    <t>청소및경비용역비</t>
  </si>
  <si>
    <t>회의참석교통비</t>
  </si>
  <si>
    <t>스탠드및게시판설치비</t>
  </si>
  <si>
    <t>난방용유류비</t>
  </si>
  <si>
    <t>인터넷및전화요금</t>
  </si>
  <si>
    <t>전국생활관협의회비</t>
  </si>
  <si>
    <t>관리비보증금반환</t>
  </si>
  <si>
    <t>각호실냉장고및CC카메라설치비</t>
  </si>
  <si>
    <t>세미나실책상및휴게실집기비품</t>
  </si>
  <si>
    <t>임의기타기금인출</t>
  </si>
  <si>
    <t>인건비 명세서</t>
  </si>
  <si>
    <t>(단위:원)</t>
  </si>
  <si>
    <t>직급</t>
  </si>
  <si>
    <t>항목</t>
  </si>
  <si>
    <t>인원수(A)</t>
  </si>
  <si>
    <t>인건비총액(B)</t>
  </si>
  <si>
    <t>1인당평균액(B/A)</t>
  </si>
  <si>
    <t>비고</t>
  </si>
  <si>
    <t>교원</t>
  </si>
  <si>
    <t>기본급(급여)</t>
  </si>
  <si>
    <t>고정수당</t>
  </si>
  <si>
    <t>고정상여금</t>
  </si>
  <si>
    <t>보직수당</t>
  </si>
  <si>
    <t>직급수당</t>
  </si>
  <si>
    <t>정근수당</t>
  </si>
  <si>
    <t>별정수당</t>
  </si>
  <si>
    <t>실적수당</t>
  </si>
  <si>
    <t>시간외수당</t>
  </si>
  <si>
    <t>법정부담금</t>
  </si>
  <si>
    <t>퇴직금</t>
  </si>
  <si>
    <t>소계</t>
  </si>
  <si>
    <t>강사</t>
  </si>
  <si>
    <t>시간강사</t>
  </si>
  <si>
    <t>기본급</t>
  </si>
  <si>
    <t>특별강사</t>
  </si>
  <si>
    <t>합  계</t>
  </si>
  <si>
    <t>직원</t>
  </si>
  <si>
    <t>정규직</t>
  </si>
  <si>
    <t>10월부터2명감소</t>
  </si>
  <si>
    <t>복리후생비</t>
  </si>
  <si>
    <t>급량비</t>
  </si>
  <si>
    <t>임시직</t>
  </si>
  <si>
    <t>인건비</t>
  </si>
  <si>
    <t>항목별 예산 세부명세서(비등록금회계)</t>
  </si>
  <si>
    <t>(2014. 3. 1부터 2015. 2. 28까지)</t>
  </si>
  <si>
    <t xml:space="preserve">수 입 의 부 </t>
  </si>
  <si>
    <t>과                목</t>
  </si>
  <si>
    <t>산출근거</t>
  </si>
  <si>
    <t>금액</t>
  </si>
  <si>
    <t xml:space="preserve">관 </t>
  </si>
  <si>
    <t xml:space="preserve">항 </t>
  </si>
  <si>
    <t>목</t>
  </si>
  <si>
    <t>등록금수입</t>
  </si>
  <si>
    <t>수강료수입</t>
  </si>
  <si>
    <t>단기수강료</t>
  </si>
  <si>
    <t>정규과정수강료수입</t>
  </si>
  <si>
    <t>일반인,외대생과정수강료수입</t>
  </si>
  <si>
    <t>위탁교육과정수입</t>
  </si>
  <si>
    <t>특별과정(방학특강,수시합격자대상)수입</t>
  </si>
  <si>
    <t>교육부대수입</t>
  </si>
  <si>
    <t xml:space="preserve">증명, 사용료 
수          입 </t>
  </si>
  <si>
    <t>증명료</t>
  </si>
  <si>
    <t>대여료및사용료</t>
  </si>
  <si>
    <t>기숙사사용료수입</t>
  </si>
  <si>
    <t>기타 대여료및 사용료</t>
  </si>
  <si>
    <t xml:space="preserve">기타교육부대수입
</t>
  </si>
  <si>
    <t>FLEX연구협약운영수입</t>
  </si>
  <si>
    <t>초.중.고외국어경시대회전형료</t>
  </si>
  <si>
    <t>기업체위탁시험전형료</t>
  </si>
  <si>
    <t>중국공자학원총본원지원금</t>
  </si>
  <si>
    <t>공자아카데미해외단기어학연수</t>
  </si>
  <si>
    <t>교내부서시설사용료수입</t>
  </si>
  <si>
    <t>FLEX수험서인세</t>
  </si>
  <si>
    <t>IBT-FLEX시험전형료</t>
  </si>
  <si>
    <t>교육외수입</t>
  </si>
  <si>
    <t>예금이자</t>
  </si>
  <si>
    <t>잡수입</t>
  </si>
  <si>
    <t>수강료환불차액</t>
  </si>
  <si>
    <t>투자와기타</t>
  </si>
  <si>
    <t>자산수입</t>
  </si>
  <si>
    <t>기타자산수입</t>
  </si>
  <si>
    <t>임차보증금회수</t>
  </si>
  <si>
    <t>공자아카데미강사숙소임차보증금회수</t>
  </si>
  <si>
    <t>임의기금인출</t>
  </si>
  <si>
    <t>연수평가원리모델링공사비</t>
  </si>
  <si>
    <t>미사용전기이월자금</t>
  </si>
  <si>
    <t>기초유동자산</t>
  </si>
  <si>
    <t>미사용이월자금</t>
  </si>
  <si>
    <t xml:space="preserve">지 출 의 부 </t>
  </si>
  <si>
    <t>보수</t>
  </si>
  <si>
    <t>교원보수</t>
  </si>
  <si>
    <t>교원급여</t>
  </si>
  <si>
    <t>FLEX연구원급여</t>
  </si>
  <si>
    <t>교원제수당</t>
  </si>
  <si>
    <t>주임,부주임강사수당</t>
  </si>
  <si>
    <t>위탁교육책임교수수당외</t>
  </si>
  <si>
    <t>교원법정부담금</t>
  </si>
  <si>
    <t>국민연금</t>
  </si>
  <si>
    <t>국민건강보험</t>
  </si>
  <si>
    <t>고용.산재보험</t>
  </si>
  <si>
    <t>시간강의료</t>
  </si>
  <si>
    <t>전임강의료</t>
  </si>
  <si>
    <t>교원퇴직금</t>
  </si>
  <si>
    <t>전임강사퇴직금</t>
  </si>
  <si>
    <t>연구원퇴직금</t>
  </si>
  <si>
    <t>직원보수</t>
  </si>
  <si>
    <t>직원급여</t>
  </si>
  <si>
    <t>직원상여금</t>
  </si>
  <si>
    <t>직원상여</t>
  </si>
  <si>
    <t>직원제수당</t>
  </si>
  <si>
    <t>야근수당</t>
  </si>
  <si>
    <t>직원자녀학비보조</t>
  </si>
  <si>
    <t>기타수당</t>
  </si>
  <si>
    <t>직원법정부담금</t>
  </si>
  <si>
    <t>사학연금</t>
  </si>
  <si>
    <t>건강보험</t>
  </si>
  <si>
    <t>임시직인건비</t>
  </si>
  <si>
    <t>공자아카데미코디네이터인건비등</t>
  </si>
  <si>
    <t>임시직1명및아르바이트급여</t>
  </si>
  <si>
    <t>관리운영비</t>
  </si>
  <si>
    <t>시설관리비</t>
  </si>
  <si>
    <t>건축물관리비</t>
  </si>
  <si>
    <t>건물유지보수관리비</t>
  </si>
  <si>
    <t>보일러설비부문관리비</t>
  </si>
  <si>
    <t>위생설비관리비</t>
  </si>
  <si>
    <t>기타설비부문관리비</t>
  </si>
  <si>
    <t>장비관리비</t>
  </si>
  <si>
    <t>기계기구수리관리비</t>
  </si>
  <si>
    <t>집기비품수리관리비</t>
  </si>
  <si>
    <t>통신장비관리비</t>
  </si>
  <si>
    <t>기타장비관리비</t>
  </si>
  <si>
    <t xml:space="preserve">시설용역비 </t>
  </si>
  <si>
    <t>청소및경비용역비</t>
  </si>
  <si>
    <t>기타시설용역비</t>
  </si>
  <si>
    <t>기타시설관리비</t>
  </si>
  <si>
    <t>오.폐기물처리비</t>
  </si>
  <si>
    <t>일반관리비</t>
  </si>
  <si>
    <t>여비교통비</t>
  </si>
  <si>
    <t>공자학원업무관련출장비</t>
  </si>
  <si>
    <t>업무출장비</t>
  </si>
  <si>
    <t>소모품비</t>
  </si>
  <si>
    <t>사무용소모품비</t>
  </si>
  <si>
    <t>수업진행용소모품비</t>
  </si>
  <si>
    <t>청소및위생용품</t>
  </si>
  <si>
    <t>기숙사침구세탁비</t>
  </si>
  <si>
    <t>음용수구입소모품비</t>
  </si>
  <si>
    <t>기타소모품비</t>
  </si>
  <si>
    <t>인쇄출판비</t>
  </si>
  <si>
    <t>팜플렛제작인쇄비</t>
  </si>
  <si>
    <t>수료증서,케이스제작경비</t>
  </si>
  <si>
    <t>난방비</t>
  </si>
  <si>
    <t>도시가스료</t>
  </si>
  <si>
    <t>전기수도료</t>
  </si>
  <si>
    <t>전기료</t>
  </si>
  <si>
    <t>수도료</t>
  </si>
  <si>
    <t>통신비</t>
  </si>
  <si>
    <t>전화료</t>
  </si>
  <si>
    <t>제세공과금</t>
  </si>
  <si>
    <t>지급수수료</t>
  </si>
  <si>
    <t>경시대회,IBT-FLEX 수험료전자결제수수료</t>
  </si>
  <si>
    <t>수강료전자결제수수료</t>
  </si>
  <si>
    <t>기타지급수수료</t>
  </si>
  <si>
    <t>운영비</t>
  </si>
  <si>
    <t>직원단체보험료</t>
  </si>
  <si>
    <t>휴일.야간근무복리후생비</t>
  </si>
  <si>
    <t>기타복리후생비</t>
  </si>
  <si>
    <t>업무추진비</t>
  </si>
  <si>
    <t>각종업무추진비</t>
  </si>
  <si>
    <t>홍보비</t>
  </si>
  <si>
    <t>교육생모집광고게재</t>
  </si>
  <si>
    <t>FLEX광고비</t>
  </si>
  <si>
    <t>외국어경시대회포스터제작</t>
  </si>
  <si>
    <t>홍보물,기념품제작</t>
  </si>
  <si>
    <t>중국어교사양성과정,중국어경시대회광고비</t>
  </si>
  <si>
    <t>회의비</t>
  </si>
  <si>
    <t>각종회의비</t>
  </si>
  <si>
    <t>기타운영비</t>
  </si>
  <si>
    <t>정규,위탁과정반편성시험경비</t>
  </si>
  <si>
    <t>FLEX시험경비</t>
  </si>
  <si>
    <t>초.중.고외국어경시대회경비</t>
  </si>
  <si>
    <t>위탁시험경비</t>
  </si>
  <si>
    <t>공자학원국제학술회의,중국어경시대회경비</t>
  </si>
  <si>
    <t>IBT-FLEX시험진행경비외</t>
  </si>
  <si>
    <t>연구학생경비</t>
  </si>
  <si>
    <t>연구비</t>
  </si>
  <si>
    <t>우수강사연구비</t>
  </si>
  <si>
    <t>FLEX연구비</t>
  </si>
  <si>
    <t>교과과정,교재개발연구비</t>
  </si>
  <si>
    <t>FLEX문제개발비</t>
  </si>
  <si>
    <t>IBT-FLEX연구개발비</t>
  </si>
  <si>
    <t>학생경비</t>
  </si>
  <si>
    <t>학생지원비</t>
  </si>
  <si>
    <t>정규과정입교.수료경비</t>
  </si>
  <si>
    <t>위탁교육생지원비</t>
  </si>
  <si>
    <t>공자학원해외단기연수비</t>
  </si>
  <si>
    <t>기타학생경비</t>
  </si>
  <si>
    <t>수업용교재구입</t>
  </si>
  <si>
    <t>기타교육외비용</t>
  </si>
  <si>
    <t>잡손실</t>
  </si>
  <si>
    <t>전출금</t>
  </si>
  <si>
    <t>교내전출금</t>
  </si>
  <si>
    <t>예비비</t>
  </si>
  <si>
    <t>투자와기타자산지출</t>
  </si>
  <si>
    <t>공자아카데미강사숙소임차보증금</t>
  </si>
  <si>
    <t>임의기금적립</t>
  </si>
  <si>
    <t>임의기타기금적립</t>
  </si>
  <si>
    <t>임의기타기금이자소득재적립</t>
  </si>
  <si>
    <t xml:space="preserve">고정자산매입지출
</t>
  </si>
  <si>
    <t>유형고정자산매입지출</t>
  </si>
  <si>
    <t>기계기구매입비</t>
  </si>
  <si>
    <t>사무용기계기구</t>
  </si>
  <si>
    <t>교육용기계기구</t>
  </si>
  <si>
    <t>집기비품매입비</t>
  </si>
  <si>
    <t>사무용집기비품</t>
  </si>
  <si>
    <t>교육용집기비품</t>
  </si>
  <si>
    <t>자금지출총계</t>
  </si>
  <si>
    <t xml:space="preserve">
대
학
</t>
  </si>
  <si>
    <t>대     학</t>
  </si>
  <si>
    <t>통번역</t>
  </si>
  <si>
    <t>2학기</t>
  </si>
  <si>
    <t>대학원</t>
  </si>
  <si>
    <t>자금수입총계</t>
  </si>
  <si>
    <t>2014학년도</t>
  </si>
  <si>
    <t>2014학년도 추가경정자금예산서</t>
  </si>
  <si>
    <t>2014학년도 추가경정자금예산서</t>
  </si>
  <si>
    <t>2014학년도 법인회계 추가경정자금예산서</t>
  </si>
  <si>
    <t>2014학년도 학교회계 추가경정자금예산서</t>
  </si>
  <si>
    <t>2014회계년도 교비회계 추가경정자금예산서</t>
  </si>
  <si>
    <t>등록금회계        추경예산(A)</t>
  </si>
  <si>
    <t>비등록금회계    추경예산(B)</t>
  </si>
  <si>
    <t>소계          (D=A+B-C)</t>
  </si>
  <si>
    <t>소계                   (D=A+B-C)</t>
  </si>
  <si>
    <t>등록금회계      추경예산(A)</t>
  </si>
  <si>
    <t>비등록금회계      추경예산(B)</t>
  </si>
  <si>
    <t>비등록금회계     추경예산(B)</t>
  </si>
  <si>
    <t xml:space="preserve"> </t>
  </si>
  <si>
    <t>고정자산매각수입</t>
  </si>
  <si>
    <t>고정자산매각수입</t>
  </si>
  <si>
    <t>유형고정자산매각수입</t>
  </si>
  <si>
    <t>유형고정자산매각수입</t>
  </si>
  <si>
    <t>차량운반구매각대</t>
  </si>
  <si>
    <t>차량운반구매각대</t>
  </si>
  <si>
    <t>전입및기부수입</t>
  </si>
  <si>
    <t>5220</t>
  </si>
  <si>
    <t>기부금수입</t>
  </si>
  <si>
    <t>지정기부금</t>
  </si>
  <si>
    <t>수익사업체기부금(동원안전시스템㈜)</t>
  </si>
  <si>
    <t>수익사업체기부금(㈜외대어학연구소)</t>
  </si>
  <si>
    <t>토지보상금에 대한 이자</t>
  </si>
  <si>
    <t>기타교육외수입</t>
  </si>
  <si>
    <t>대원빌딩 연체료</t>
  </si>
  <si>
    <t>각종잡수입 입금</t>
  </si>
  <si>
    <t>수익재산수입</t>
  </si>
  <si>
    <t>임대료수입</t>
  </si>
  <si>
    <t>배당금수입</t>
  </si>
  <si>
    <t>투자와기타자산수입</t>
  </si>
  <si>
    <t>장기미수금회수</t>
  </si>
  <si>
    <t>임의기금인출수입</t>
  </si>
  <si>
    <t>임의건축기금인출</t>
  </si>
  <si>
    <t>임의건축기금인출 수입(설치학교 전출금 지급)</t>
  </si>
  <si>
    <t>임의기타기금인출</t>
  </si>
  <si>
    <t>임의기타기금인출 수입(설치학교 전출금 지급)</t>
  </si>
  <si>
    <t>고정부채입금</t>
  </si>
  <si>
    <t>자금수입총계</t>
  </si>
  <si>
    <t xml:space="preserve">직원급여 </t>
  </si>
  <si>
    <t>가계보조비</t>
  </si>
  <si>
    <t>직원자녀 학비보조</t>
  </si>
  <si>
    <t>교육훈련비</t>
  </si>
  <si>
    <t>의료보험,국민연금등</t>
  </si>
  <si>
    <t>사무보조</t>
  </si>
  <si>
    <t>직원퇴직금</t>
  </si>
  <si>
    <t>보험료</t>
  </si>
  <si>
    <t>기타보험료</t>
  </si>
  <si>
    <t>리스임차료</t>
  </si>
  <si>
    <t>설립자 손주 차량 리스료</t>
  </si>
  <si>
    <t>직무수행 교통비</t>
  </si>
  <si>
    <t>직원출장비 및 교통비</t>
  </si>
  <si>
    <t>업무차 퀵써비스</t>
  </si>
  <si>
    <t>차량유지비</t>
  </si>
  <si>
    <t>차량유류비</t>
  </si>
  <si>
    <t>차량수리비</t>
  </si>
  <si>
    <t>주차.통행료비</t>
  </si>
  <si>
    <t>대원빌딩 위생용 소모품비</t>
  </si>
  <si>
    <t>사무용 소모품비(토너외)</t>
  </si>
  <si>
    <t>각종 소모품비</t>
  </si>
  <si>
    <t>각종 협의회비</t>
  </si>
  <si>
    <t>각종수수료외</t>
  </si>
  <si>
    <t>경조비</t>
  </si>
  <si>
    <t>직원수련회경비</t>
  </si>
  <si>
    <t>기타교육훈련비</t>
  </si>
  <si>
    <t>일반용역비</t>
  </si>
  <si>
    <t>회계감사 및 세무용역비</t>
  </si>
  <si>
    <t>이사회 관련 소송비용</t>
  </si>
  <si>
    <t>토지보상금 증액 소송비용</t>
  </si>
  <si>
    <t>기타일반용역비</t>
  </si>
  <si>
    <t>직무차 업무추진비</t>
  </si>
  <si>
    <t>이사회 회의비</t>
  </si>
  <si>
    <t>소위원회 회의비</t>
  </si>
  <si>
    <t>간담회비</t>
  </si>
  <si>
    <t>행사비</t>
  </si>
  <si>
    <t>각종 행사지원금</t>
  </si>
  <si>
    <t>외부 화환 및 조화</t>
  </si>
  <si>
    <t>일간신문 및 월간지 구독료</t>
  </si>
  <si>
    <t>기타운영경비</t>
  </si>
  <si>
    <t>경상비전출금</t>
  </si>
  <si>
    <t>부설고등학교 전출금(재산세 등 보조)</t>
  </si>
  <si>
    <t>법정부담전출금</t>
  </si>
  <si>
    <t>법학전문대학원 법정부담 전출금</t>
  </si>
  <si>
    <t>대학교 법정부담 전출금</t>
  </si>
  <si>
    <t>사이버대학교 법정부담 전출금</t>
  </si>
  <si>
    <t>부설고등학교 법정부담 전출금</t>
  </si>
  <si>
    <t>설치학교</t>
  </si>
  <si>
    <t>원격대학</t>
  </si>
  <si>
    <t>사이버대학교 기준면적에 대한 전출금</t>
  </si>
  <si>
    <t>임의건축기금적립</t>
  </si>
  <si>
    <t>건축기금 적립</t>
  </si>
  <si>
    <t>기타기금 적립</t>
  </si>
  <si>
    <t>건설가계정</t>
  </si>
  <si>
    <t>고정부채상환</t>
  </si>
  <si>
    <t xml:space="preserve">기타고정부채상환
</t>
  </si>
  <si>
    <t>임대보증금환급</t>
  </si>
  <si>
    <t>미사용차기이월자금</t>
  </si>
  <si>
    <t>기말유동자산</t>
  </si>
  <si>
    <t>법률회계등 일반용역비</t>
  </si>
  <si>
    <t>잡손실</t>
  </si>
  <si>
    <t>`</t>
  </si>
  <si>
    <t>고정부채입금</t>
  </si>
  <si>
    <t>장기차입금</t>
  </si>
  <si>
    <t>장기차입금차입</t>
  </si>
  <si>
    <t>장기차입금</t>
  </si>
  <si>
    <t>장기차입금차입</t>
  </si>
  <si>
    <t>자곡동토지 부동산세</t>
  </si>
  <si>
    <t>송도토지3/5회차</t>
  </si>
  <si>
    <t>장기차입금</t>
  </si>
  <si>
    <t>경상비전출금(미납법정부담금,법학전문대학원)</t>
  </si>
  <si>
    <t>경상비전입금(미납법정부담금,법학전문대학원)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</si>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</sst>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76" formatCode="_ &quot;₩&quot;* #,##0_ ;_ &quot;₩&quot;* \-#,##0_ ;_ &quot;₩&quot;* &quot;-&quot;_ ;_ @_ "/>
    <numFmt numFmtId="177" formatCode="_ * #,##0_ ;_ * \-#,##0_ ;_ * &quot;-&quot;_ ;_ @_ "/>
    <numFmt numFmtId="178" formatCode="_ * #,##0.00_ ;_ * \-#,##0.00_ ;_ * &quot;-&quot;??_ ;_ @_ "/>
    <numFmt numFmtId="179" formatCode="&quot;기성회부문-&quot;#,##0"/>
    <numFmt numFmtId="180" formatCode="&quot;기성회부문-&quot;#,##0\ &quot;교내 학술연구 및 수탁연구비&quot;"/>
    <numFmt numFmtId="181" formatCode="&quot; 기성회부문-&quot;#,##0\ "/>
    <numFmt numFmtId="182" formatCode="&quot; 기성회부문-&quot;#,##0\ \ &quot;기성회비의 9%&quot;"/>
    <numFmt numFmtId="183" formatCode="_-&quot;₩&quot;* #,##0.00_-;&quot;₩&quot;\-&quot;₩&quot;* #,##0.00_-;_-&quot;₩&quot;* &quot;-&quot;??_-;_-@_-"/>
    <numFmt numFmtId="184" formatCode="&quot;₩&quot;#,##0.00;[Red]&quot;₩&quot;&quot;₩&quot;&quot;₩&quot;&quot;₩&quot;\-&quot;₩&quot;#,##0.0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_ ;&quot;△&quot;\ #,##0_ ;\-_ ;"/>
    <numFmt numFmtId="188" formatCode="#,##0_);[Red]\(#,##0\)"/>
    <numFmt numFmtId="189" formatCode="#,##0_ ;[Red]\-#,##0\ "/>
    <numFmt numFmtId="190" formatCode="#,##0_ "/>
    <numFmt numFmtId="191" formatCode="0.E+00"/>
    <numFmt numFmtId="192" formatCode="0_);[Red]\(0\)"/>
  </numFmts>
  <fonts count="65">
    <font>
      <sz val="12"/>
      <name val="바탕체"/>
      <family val="1"/>
    </font>
    <font>
      <sz val="10"/>
      <name val="Arial"/>
      <family val="2"/>
    </font>
    <font>
      <b/>
      <sz val="12"/>
      <name val="바탕체"/>
      <family val="1"/>
    </font>
    <font>
      <sz val="11"/>
      <name val="돋움"/>
      <family val="3"/>
    </font>
    <font>
      <sz val="12"/>
      <name val="굴림체"/>
      <family val="3"/>
    </font>
    <font>
      <sz val="10"/>
      <name val="MS Sans Serif"/>
      <family val="2"/>
    </font>
    <font>
      <b/>
      <sz val="10"/>
      <name val="굴림체"/>
      <family val="3"/>
    </font>
    <font>
      <sz val="8"/>
      <name val="바탕"/>
      <family val="1"/>
    </font>
    <font>
      <sz val="10"/>
      <name val="굴림체"/>
      <family val="3"/>
    </font>
    <font>
      <b/>
      <sz val="28"/>
      <name val="굴림체"/>
      <family val="3"/>
    </font>
    <font>
      <sz val="8"/>
      <name val="돋움"/>
      <family val="3"/>
    </font>
    <font>
      <b/>
      <sz val="9"/>
      <name val="굴림체"/>
      <family val="3"/>
    </font>
    <font>
      <sz val="8"/>
      <name val="바탕체"/>
      <family val="1"/>
    </font>
    <font>
      <sz val="12"/>
      <name val="바탕"/>
      <family val="1"/>
    </font>
    <font>
      <b/>
      <sz val="9.5"/>
      <name val="Courier"/>
      <family val="3"/>
    </font>
    <font>
      <b/>
      <sz val="9.85"/>
      <name val="Times New Roman"/>
      <family val="1"/>
    </font>
    <font>
      <b/>
      <sz val="12"/>
      <name val="Times New Roman"/>
      <family val="1"/>
    </font>
    <font>
      <sz val="8"/>
      <name val="맑은 고딕"/>
      <family val="3"/>
    </font>
    <font>
      <sz val="10"/>
      <name val="Times New Roman"/>
      <family val="1"/>
    </font>
    <font>
      <sz val="8"/>
      <name val="Calibri"/>
      <family val="2"/>
      <scheme val="minor"/>
    </font>
    <font>
      <b/>
      <sz val="11"/>
      <name val="굴림체"/>
      <family val="3"/>
    </font>
    <font>
      <b/>
      <sz val="24"/>
      <name val="굴림체"/>
      <family val="3"/>
    </font>
    <font>
      <sz val="9"/>
      <name val="굴림체"/>
      <family val="3"/>
    </font>
    <font>
      <sz val="10"/>
      <color indexed="10"/>
      <name val="굴림체"/>
      <family val="3"/>
    </font>
    <font>
      <sz val="6"/>
      <name val="굴림체"/>
      <family val="3"/>
    </font>
    <font>
      <sz val="8.5"/>
      <name val="굴림체"/>
      <family val="3"/>
    </font>
    <font>
      <b/>
      <sz val="12"/>
      <name val="굴림체"/>
      <family val="3"/>
    </font>
    <font>
      <b/>
      <sz val="48"/>
      <name val="굴림체"/>
      <family val="3"/>
    </font>
    <font>
      <b/>
      <sz val="20"/>
      <name val="굴림체"/>
      <family val="3"/>
    </font>
    <font>
      <sz val="11"/>
      <name val="굴림체"/>
      <family val="3"/>
    </font>
    <font>
      <sz val="28"/>
      <name val="굴림체"/>
      <family val="3"/>
    </font>
    <font>
      <b/>
      <sz val="18"/>
      <color theme="1"/>
      <name val="굴림체"/>
      <family val="3"/>
    </font>
    <font>
      <sz val="11"/>
      <color theme="1"/>
      <name val="굴림체"/>
      <family val="3"/>
    </font>
    <font>
      <b/>
      <sz val="36"/>
      <name val="굴림체"/>
      <family val="3"/>
    </font>
    <font>
      <b/>
      <sz val="42"/>
      <name val="굴림체"/>
      <family val="3"/>
    </font>
    <font>
      <b/>
      <sz val="9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b/>
      <sz val="10"/>
      <name val="궁서체"/>
      <family val="1"/>
    </font>
    <font>
      <sz val="10"/>
      <name val="바탕체"/>
      <family val="1"/>
    </font>
    <font>
      <b/>
      <sz val="9"/>
      <name val="궁서체"/>
      <family val="1"/>
    </font>
    <font>
      <sz val="10"/>
      <name val="궁서체"/>
      <family val="1"/>
    </font>
    <font>
      <sz val="9"/>
      <name val="궁서체"/>
      <family val="1"/>
    </font>
    <font>
      <sz val="6"/>
      <name val="궁서체"/>
      <family val="1"/>
    </font>
    <font>
      <sz val="11"/>
      <name val="궁서체"/>
      <family val="1"/>
    </font>
    <font>
      <sz val="7"/>
      <name val="궁서체"/>
      <family val="1"/>
    </font>
    <font>
      <sz val="9"/>
      <name val="바탕체"/>
      <family val="1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3"/>
      <scheme val="minor"/>
    </font>
    <font>
      <sz val="10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9"/>
      <color indexed="10"/>
      <name val="굴림체"/>
      <family val="3"/>
    </font>
    <font>
      <sz val="10"/>
      <name val="Calibri"/>
      <family val="3"/>
      <scheme val="minor"/>
    </font>
    <font>
      <b/>
      <sz val="22"/>
      <name val="굴림체"/>
      <family val="3"/>
    </font>
    <font>
      <sz val="18"/>
      <name val="굴림체"/>
      <family val="3"/>
    </font>
    <font>
      <sz val="11"/>
      <color indexed="8"/>
      <name val="맑은 고딕"/>
      <family val="3"/>
    </font>
    <font>
      <sz val="8"/>
      <name val="굴림체"/>
      <family val="3"/>
    </font>
    <font>
      <sz val="11"/>
      <color theme="1"/>
      <name val="Calibri"/>
      <family val="2"/>
    </font>
    <font>
      <sz val="12"/>
      <color rgb="FF000000"/>
      <name val="바탕체"/>
      <family val="2"/>
    </font>
    <font>
      <sz val="12"/>
      <color rgb="FF000000"/>
      <name val="궁서체"/>
      <family val="2"/>
    </font>
    <font>
      <sz val="12"/>
      <color rgb="FF000000"/>
      <name val="굴림체"/>
      <family val="2"/>
    </font>
    <font>
      <b/>
      <sz val="8"/>
      <name val="바탕체"/>
      <family val="2"/>
    </font>
    <font>
      <sz val="12"/>
      <color theme="1"/>
      <name val="바탕체"/>
      <family val="2"/>
      <scheme val="minor"/>
    </font>
    <font>
      <sz val="10"/>
      <color rgb="FF000000"/>
      <name val="굴림체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7F2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ashed"/>
      <right style="dashed"/>
      <top/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 style="hair"/>
      <top style="double"/>
      <bottom style="hair"/>
    </border>
    <border>
      <left style="medium"/>
      <right/>
      <top/>
      <bottom/>
    </border>
    <border>
      <left style="hair"/>
      <right style="hair"/>
      <top style="hair"/>
      <bottom style="hair"/>
    </border>
    <border>
      <left style="hair"/>
      <right style="hair"/>
      <top style="dotted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hair"/>
      <bottom/>
    </border>
    <border>
      <left style="thin"/>
      <right/>
      <top/>
      <bottom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medium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dashed"/>
      <right style="thin"/>
      <top/>
      <bottom style="dashed"/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hair"/>
      <right style="medium"/>
      <top style="double"/>
      <bottom style="hair"/>
    </border>
    <border>
      <left/>
      <right style="medium"/>
      <top/>
      <bottom/>
    </border>
    <border>
      <left style="hair"/>
      <right style="thin"/>
      <top style="double"/>
      <bottom style="hair"/>
    </border>
    <border>
      <left style="hair"/>
      <right style="thin"/>
      <top style="hair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/>
      <bottom style="dashed"/>
    </border>
    <border>
      <left/>
      <right style="dashed"/>
      <top style="double"/>
      <bottom style="dashed"/>
    </border>
    <border>
      <left style="medium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 style="medium"/>
    </border>
    <border>
      <left/>
      <right style="dashed"/>
      <top style="dashed"/>
      <bottom style="medium"/>
    </border>
    <border>
      <left style="medium"/>
      <right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/>
      <top style="double"/>
      <bottom/>
    </border>
    <border>
      <left style="thin"/>
      <right/>
      <top/>
      <bottom style="hair"/>
    </border>
    <border>
      <left style="hair"/>
      <right style="hair"/>
      <top style="double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double"/>
      <bottom style="hair"/>
    </border>
    <border>
      <left style="thin"/>
      <right style="hair"/>
      <top/>
      <bottom style="hair"/>
    </border>
    <border>
      <left/>
      <right style="hair"/>
      <top style="double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0" borderId="0">
      <alignment horizontal="left"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4" fillId="2" borderId="3" applyNumberFormat="0" applyBorder="0" applyAlignment="0" applyProtection="0"/>
    <xf numFmtId="0" fontId="16" fillId="0" borderId="4">
      <alignment/>
      <protection/>
    </xf>
    <xf numFmtId="184" fontId="2" fillId="0" borderId="0">
      <alignment/>
      <protection/>
    </xf>
    <xf numFmtId="0" fontId="18" fillId="0" borderId="0">
      <alignment/>
      <protection/>
    </xf>
    <xf numFmtId="41" fontId="56" fillId="0" borderId="0" applyFont="0" applyFill="0" applyBorder="0" applyProtection="0">
      <alignment/>
    </xf>
  </cellStyleXfs>
  <cellXfs count="1213">
    <xf numFmtId="0" fontId="0" fillId="0" borderId="0" xfId="0"/>
    <xf numFmtId="177" fontId="6" fillId="0" borderId="0" xfId="21" applyFont="1" applyAlignment="1">
      <alignment horizontal="center" vertical="center"/>
    </xf>
    <xf numFmtId="177" fontId="6" fillId="0" borderId="0" xfId="2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7" fontId="8" fillId="0" borderId="0" xfId="21" applyFont="1" applyFill="1" applyAlignment="1">
      <alignment vertical="center"/>
    </xf>
    <xf numFmtId="177" fontId="20" fillId="0" borderId="0" xfId="21" applyFont="1" applyAlignment="1">
      <alignment horizontal="center" vertical="center"/>
    </xf>
    <xf numFmtId="177" fontId="20" fillId="0" borderId="0" xfId="21" applyFont="1" applyAlignment="1">
      <alignment vertical="center"/>
    </xf>
    <xf numFmtId="177" fontId="4" fillId="0" borderId="0" xfId="21" applyFont="1"/>
    <xf numFmtId="177" fontId="4" fillId="0" borderId="0" xfId="21" applyFont="1" applyAlignment="1">
      <alignment vertical="center"/>
    </xf>
    <xf numFmtId="177" fontId="6" fillId="3" borderId="3" xfId="21" applyFont="1" applyFill="1" applyBorder="1" applyAlignment="1">
      <alignment horizontal="center" vertical="center"/>
    </xf>
    <xf numFmtId="0" fontId="8" fillId="0" borderId="5" xfId="21" applyNumberFormat="1" applyFont="1" applyFill="1" applyBorder="1" applyAlignment="1">
      <alignment horizontal="left" vertical="center"/>
    </xf>
    <xf numFmtId="177" fontId="8" fillId="0" borderId="5" xfId="21" applyFont="1" applyFill="1" applyBorder="1" applyAlignment="1">
      <alignment horizontal="center" vertical="center"/>
    </xf>
    <xf numFmtId="177" fontId="8" fillId="0" borderId="6" xfId="21" applyNumberFormat="1" applyFont="1" applyBorder="1" applyAlignment="1">
      <alignment vertical="center"/>
    </xf>
    <xf numFmtId="177" fontId="8" fillId="0" borderId="0" xfId="21" applyFont="1" applyAlignment="1">
      <alignment vertical="center"/>
    </xf>
    <xf numFmtId="49" fontId="8" fillId="0" borderId="5" xfId="21" applyNumberFormat="1" applyFont="1" applyBorder="1" applyAlignment="1">
      <alignment horizontal="left" vertical="top" readingOrder="1"/>
    </xf>
    <xf numFmtId="177" fontId="8" fillId="0" borderId="5" xfId="21" applyNumberFormat="1" applyFont="1" applyBorder="1" applyAlignment="1">
      <alignment vertical="center"/>
    </xf>
    <xf numFmtId="177" fontId="8" fillId="0" borderId="5" xfId="21" applyFont="1" applyBorder="1" applyAlignment="1">
      <alignment vertical="center"/>
    </xf>
    <xf numFmtId="177" fontId="8" fillId="0" borderId="6" xfId="21" applyFont="1" applyBorder="1" applyAlignment="1">
      <alignment vertical="center"/>
    </xf>
    <xf numFmtId="177" fontId="22" fillId="0" borderId="6" xfId="21" applyFont="1" applyBorder="1" applyAlignment="1">
      <alignment vertical="center"/>
    </xf>
    <xf numFmtId="177" fontId="22" fillId="0" borderId="5" xfId="21" applyFont="1" applyBorder="1" applyAlignment="1">
      <alignment vertical="center"/>
    </xf>
    <xf numFmtId="49" fontId="8" fillId="0" borderId="5" xfId="28" applyNumberFormat="1" applyFont="1" applyBorder="1" applyAlignment="1">
      <alignment horizontal="left" vertical="top" readingOrder="1"/>
    </xf>
    <xf numFmtId="177" fontId="8" fillId="0" borderId="5" xfId="21" applyNumberFormat="1" applyFont="1" applyBorder="1" applyAlignment="1">
      <alignment horizontal="left" vertical="center"/>
    </xf>
    <xf numFmtId="177" fontId="22" fillId="0" borderId="5" xfId="21" applyFont="1" applyBorder="1" applyAlignment="1">
      <alignment horizontal="left" vertical="center"/>
    </xf>
    <xf numFmtId="177" fontId="8" fillId="0" borderId="0" xfId="21" applyFont="1" applyAlignment="1">
      <alignment horizontal="left" vertical="center"/>
    </xf>
    <xf numFmtId="0" fontId="8" fillId="0" borderId="5" xfId="21" applyNumberFormat="1" applyFont="1" applyBorder="1" applyAlignment="1">
      <alignment horizontal="left" vertical="top" readingOrder="1"/>
    </xf>
    <xf numFmtId="177" fontId="8" fillId="0" borderId="5" xfId="21" applyFont="1" applyBorder="1" applyAlignment="1">
      <alignment vertical="center" shrinkToFit="1"/>
    </xf>
    <xf numFmtId="177" fontId="23" fillId="0" borderId="0" xfId="21" applyFont="1" applyAlignment="1">
      <alignment vertical="center"/>
    </xf>
    <xf numFmtId="177" fontId="8" fillId="0" borderId="7" xfId="21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vertical="top" wrapText="1" readingOrder="1"/>
    </xf>
    <xf numFmtId="0" fontId="8" fillId="0" borderId="6" xfId="21" applyNumberFormat="1" applyFont="1" applyBorder="1" applyAlignment="1">
      <alignment vertical="top" readingOrder="1"/>
    </xf>
    <xf numFmtId="0" fontId="8" fillId="0" borderId="6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vertical="top" wrapText="1" readingOrder="1"/>
    </xf>
    <xf numFmtId="0" fontId="8" fillId="0" borderId="7" xfId="21" applyNumberFormat="1" applyFont="1" applyBorder="1" applyAlignment="1">
      <alignment vertical="top" readingOrder="1"/>
    </xf>
    <xf numFmtId="0" fontId="8" fillId="0" borderId="7" xfId="21" applyNumberFormat="1" applyFont="1" applyBorder="1" applyAlignment="1">
      <alignment horizontal="left" vertical="center" wrapText="1" readingOrder="1"/>
    </xf>
    <xf numFmtId="177" fontId="8" fillId="0" borderId="7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center" wrapText="1" readingOrder="1"/>
    </xf>
    <xf numFmtId="177" fontId="8" fillId="0" borderId="5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left" vertical="top" wrapText="1" readingOrder="1"/>
    </xf>
    <xf numFmtId="0" fontId="8" fillId="0" borderId="5" xfId="21" applyNumberFormat="1" applyFont="1" applyBorder="1" applyAlignment="1">
      <alignment horizontal="distributed" vertical="center" wrapText="1" readingOrder="1"/>
    </xf>
    <xf numFmtId="177" fontId="8" fillId="0" borderId="5" xfId="21" applyFont="1" applyBorder="1" applyAlignment="1" applyProtection="1">
      <alignment vertical="center"/>
      <protection locked="0"/>
    </xf>
    <xf numFmtId="0" fontId="8" fillId="0" borderId="6" xfId="21" applyNumberFormat="1" applyFont="1" applyBorder="1" applyAlignment="1">
      <alignment horizontal="distributed" vertical="center" readingOrder="1"/>
    </xf>
    <xf numFmtId="0" fontId="8" fillId="0" borderId="5" xfId="21" applyNumberFormat="1" applyFont="1" applyBorder="1" applyAlignment="1">
      <alignment horizontal="left" vertical="center" readingOrder="1"/>
    </xf>
    <xf numFmtId="177" fontId="8" fillId="0" borderId="6" xfId="21" applyFont="1" applyBorder="1" applyAlignment="1" applyProtection="1">
      <alignment vertical="center"/>
      <protection locked="0"/>
    </xf>
    <xf numFmtId="177" fontId="8" fillId="0" borderId="5" xfId="2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center" wrapText="1" readingOrder="1"/>
    </xf>
    <xf numFmtId="177" fontId="8" fillId="0" borderId="7" xfId="21" applyFont="1" applyBorder="1" applyAlignment="1" applyProtection="1">
      <alignment vertical="center"/>
      <protection locked="0"/>
    </xf>
    <xf numFmtId="0" fontId="22" fillId="0" borderId="6" xfId="21" applyNumberFormat="1" applyFont="1" applyBorder="1" applyAlignment="1">
      <alignment horizontal="distributed" vertical="center" wrapText="1" readingOrder="1"/>
    </xf>
    <xf numFmtId="0" fontId="8" fillId="0" borderId="5" xfId="21" applyNumberFormat="1" applyFont="1" applyBorder="1" applyAlignment="1">
      <alignment horizontal="distributed" vertical="center" readingOrder="1"/>
    </xf>
    <xf numFmtId="177" fontId="8" fillId="0" borderId="5" xfId="21" applyFont="1" applyBorder="1" applyAlignment="1" applyProtection="1">
      <alignment vertical="center"/>
      <protection/>
    </xf>
    <xf numFmtId="177" fontId="8" fillId="0" borderId="6" xfId="21" applyFont="1" applyBorder="1" applyAlignment="1" applyProtection="1">
      <alignment vertical="center"/>
      <protection/>
    </xf>
    <xf numFmtId="0" fontId="8" fillId="0" borderId="7" xfId="21" applyNumberFormat="1" applyFont="1" applyBorder="1" applyAlignment="1">
      <alignment horizontal="center" vertical="top" wrapText="1" readingOrder="1"/>
    </xf>
    <xf numFmtId="0" fontId="22" fillId="0" borderId="5" xfId="21" applyNumberFormat="1" applyFont="1" applyBorder="1" applyAlignment="1">
      <alignment horizontal="left" vertical="center" wrapText="1" readingOrder="1"/>
    </xf>
    <xf numFmtId="0" fontId="8" fillId="0" borderId="5" xfId="21" applyNumberFormat="1" applyFont="1" applyBorder="1" applyAlignment="1">
      <alignment horizontal="distributed" vertical="top" readingOrder="1"/>
    </xf>
    <xf numFmtId="0" fontId="22" fillId="0" borderId="5" xfId="21" applyNumberFormat="1" applyFont="1" applyBorder="1" applyAlignment="1">
      <alignment horizontal="distributed" vertical="center" wrapText="1" readingOrder="1"/>
    </xf>
    <xf numFmtId="0" fontId="8" fillId="0" borderId="3" xfId="21" applyNumberFormat="1" applyFont="1" applyBorder="1" applyAlignment="1">
      <alignment horizontal="left" vertical="center" wrapText="1" readingOrder="1"/>
    </xf>
    <xf numFmtId="177" fontId="8" fillId="0" borderId="3" xfId="21" applyFont="1" applyBorder="1" applyAlignment="1">
      <alignment vertical="center"/>
    </xf>
    <xf numFmtId="177" fontId="8" fillId="0" borderId="5" xfId="21" applyFont="1" applyFill="1" applyBorder="1" applyAlignment="1">
      <alignment vertical="center" wrapText="1"/>
    </xf>
    <xf numFmtId="177" fontId="8" fillId="0" borderId="0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distributed" vertical="top" wrapText="1" readingOrder="1"/>
    </xf>
    <xf numFmtId="0" fontId="25" fillId="0" borderId="5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left" vertical="top" wrapText="1" readingOrder="1"/>
    </xf>
    <xf numFmtId="177" fontId="8" fillId="0" borderId="3" xfId="21" applyFont="1" applyBorder="1" applyAlignment="1">
      <alignment horizontal="distributed" vertical="top" wrapText="1" readingOrder="1"/>
    </xf>
    <xf numFmtId="177" fontId="8" fillId="0" borderId="3" xfId="21" applyFont="1" applyBorder="1" applyAlignment="1">
      <alignment horizontal="distributed" vertical="center" wrapText="1" readingOrder="1"/>
    </xf>
    <xf numFmtId="177" fontId="8" fillId="0" borderId="3" xfId="21" applyFont="1" applyFill="1" applyBorder="1" applyAlignment="1">
      <alignment vertical="center"/>
    </xf>
    <xf numFmtId="177" fontId="8" fillId="0" borderId="5" xfId="21" applyFont="1" applyBorder="1" applyAlignment="1">
      <alignment horizontal="distributed" vertical="center" wrapText="1" readingOrder="1"/>
    </xf>
    <xf numFmtId="177" fontId="8" fillId="0" borderId="5" xfId="21" applyFont="1" applyFill="1" applyBorder="1" applyAlignment="1">
      <alignment vertical="center"/>
    </xf>
    <xf numFmtId="177" fontId="8" fillId="0" borderId="6" xfId="21" applyFont="1" applyBorder="1" applyAlignment="1">
      <alignment horizontal="distributed" vertical="center" wrapText="1" readingOrder="1"/>
    </xf>
    <xf numFmtId="177" fontId="4" fillId="0" borderId="0" xfId="2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0" xfId="21" applyFont="1" applyAlignment="1">
      <alignment horizontal="center"/>
    </xf>
    <xf numFmtId="177" fontId="8" fillId="0" borderId="0" xfId="21" applyFont="1" applyAlignment="1">
      <alignment horizontal="center"/>
    </xf>
    <xf numFmtId="177" fontId="8" fillId="0" borderId="0" xfId="21" applyFont="1" applyFill="1" applyAlignment="1">
      <alignment horizontal="center"/>
    </xf>
    <xf numFmtId="0" fontId="8" fillId="0" borderId="6" xfId="21" applyNumberFormat="1" applyFont="1" applyBorder="1"/>
    <xf numFmtId="177" fontId="22" fillId="0" borderId="6" xfId="21" applyFont="1" applyBorder="1" applyAlignment="1">
      <alignment horizontal="center" vertical="center"/>
    </xf>
    <xf numFmtId="177" fontId="8" fillId="0" borderId="0" xfId="21" applyFont="1"/>
    <xf numFmtId="0" fontId="8" fillId="0" borderId="5" xfId="21" applyNumberFormat="1" applyFont="1" applyBorder="1" applyAlignment="1">
      <alignment horizontal="left" vertical="top"/>
    </xf>
    <xf numFmtId="0" fontId="8" fillId="0" borderId="5" xfId="21" applyNumberFormat="1" applyFont="1" applyBorder="1"/>
    <xf numFmtId="0" fontId="8" fillId="0" borderId="7" xfId="21" applyNumberFormat="1" applyFont="1" applyBorder="1" applyAlignment="1">
      <alignment horizontal="left" vertical="center"/>
    </xf>
    <xf numFmtId="177" fontId="22" fillId="0" borderId="7" xfId="21" applyFont="1" applyBorder="1" applyAlignment="1">
      <alignment vertical="center"/>
    </xf>
    <xf numFmtId="177" fontId="8" fillId="0" borderId="0" xfId="21" applyFont="1" applyBorder="1"/>
    <xf numFmtId="0" fontId="8" fillId="0" borderId="6" xfId="21" applyNumberFormat="1" applyFont="1" applyBorder="1" applyAlignment="1">
      <alignment horizontal="distributed" vertical="center" wrapText="1"/>
    </xf>
    <xf numFmtId="179" fontId="22" fillId="0" borderId="6" xfId="21" applyNumberFormat="1" applyFont="1" applyBorder="1" applyAlignment="1">
      <alignment horizontal="left" vertical="center" shrinkToFit="1"/>
    </xf>
    <xf numFmtId="0" fontId="8" fillId="0" borderId="5" xfId="21" applyNumberFormat="1" applyFont="1" applyBorder="1" applyAlignment="1">
      <alignment horizontal="left" vertical="center" wrapText="1"/>
    </xf>
    <xf numFmtId="179" fontId="22" fillId="0" borderId="5" xfId="21" applyNumberFormat="1" applyFont="1" applyBorder="1" applyAlignment="1">
      <alignment horizontal="left" vertical="center" shrinkToFit="1"/>
    </xf>
    <xf numFmtId="0" fontId="8" fillId="0" borderId="7" xfId="21" applyNumberFormat="1" applyFont="1" applyBorder="1" applyAlignment="1">
      <alignment horizontal="left" vertical="top"/>
    </xf>
    <xf numFmtId="177" fontId="8" fillId="0" borderId="7" xfId="21" applyFont="1" applyBorder="1" applyAlignment="1" applyProtection="1">
      <alignment vertical="center"/>
      <protection/>
    </xf>
    <xf numFmtId="177" fontId="8" fillId="0" borderId="7" xfId="21" applyFont="1" applyBorder="1"/>
    <xf numFmtId="177" fontId="22" fillId="0" borderId="6" xfId="21" applyFont="1" applyBorder="1" applyAlignment="1">
      <alignment vertical="center" wrapText="1"/>
    </xf>
    <xf numFmtId="177" fontId="22" fillId="0" borderId="5" xfId="21" applyFont="1" applyBorder="1" applyAlignment="1">
      <alignment vertical="center" wrapText="1"/>
    </xf>
    <xf numFmtId="0" fontId="8" fillId="0" borderId="7" xfId="21" applyNumberFormat="1" applyFont="1" applyBorder="1" applyAlignment="1">
      <alignment horizontal="distributed" vertical="center" readingOrder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vertical="top" wrapText="1"/>
    </xf>
    <xf numFmtId="177" fontId="8" fillId="0" borderId="0" xfId="21" applyFont="1" applyBorder="1" applyAlignment="1">
      <alignment horizontal="left"/>
    </xf>
    <xf numFmtId="0" fontId="8" fillId="0" borderId="6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vertical="top" wrapText="1"/>
    </xf>
    <xf numFmtId="177" fontId="8" fillId="0" borderId="3" xfId="21" applyFont="1" applyBorder="1" applyAlignment="1">
      <alignment horizontal="left" vertical="center"/>
    </xf>
    <xf numFmtId="177" fontId="22" fillId="0" borderId="5" xfId="21" applyFont="1" applyBorder="1" applyAlignment="1">
      <alignment horizontal="left" vertical="center" wrapText="1"/>
    </xf>
    <xf numFmtId="0" fontId="8" fillId="0" borderId="5" xfId="21" applyNumberFormat="1" applyFont="1" applyBorder="1" applyAlignment="1">
      <alignment horizontal="left" vertical="top" wrapText="1"/>
    </xf>
    <xf numFmtId="177" fontId="8" fillId="0" borderId="7" xfId="21" applyFont="1" applyBorder="1" applyAlignment="1">
      <alignment horizontal="left" vertical="center"/>
    </xf>
    <xf numFmtId="177" fontId="22" fillId="0" borderId="7" xfId="21" applyFont="1" applyBorder="1" applyAlignment="1">
      <alignment horizontal="left" vertical="center"/>
    </xf>
    <xf numFmtId="177" fontId="22" fillId="0" borderId="3" xfId="21" applyFont="1" applyBorder="1" applyAlignment="1">
      <alignment horizontal="left" vertical="center"/>
    </xf>
    <xf numFmtId="177" fontId="22" fillId="0" borderId="6" xfId="21" applyFont="1" applyBorder="1" applyAlignment="1">
      <alignment vertical="center" shrinkToFit="1"/>
    </xf>
    <xf numFmtId="177" fontId="22" fillId="0" borderId="5" xfId="21" applyFont="1" applyBorder="1" applyAlignment="1">
      <alignment horizontal="left" vertical="center" shrinkToFit="1"/>
    </xf>
    <xf numFmtId="0" fontId="8" fillId="0" borderId="5" xfId="21" applyNumberFormat="1" applyFont="1" applyBorder="1" applyAlignment="1">
      <alignment vertical="top" wrapText="1"/>
    </xf>
    <xf numFmtId="177" fontId="8" fillId="0" borderId="5" xfId="21" applyFont="1" applyBorder="1" applyAlignment="1" applyProtection="1">
      <alignment horizontal="left" vertical="center"/>
      <protection/>
    </xf>
    <xf numFmtId="179" fontId="22" fillId="0" borderId="6" xfId="21" applyNumberFormat="1" applyFont="1" applyBorder="1" applyAlignment="1">
      <alignment vertical="center" wrapText="1"/>
    </xf>
    <xf numFmtId="0" fontId="8" fillId="0" borderId="3" xfId="21" applyNumberFormat="1" applyFont="1" applyBorder="1" applyAlignment="1">
      <alignment horizontal="distributed" vertical="center" wrapText="1" readingOrder="1"/>
    </xf>
    <xf numFmtId="179" fontId="22" fillId="0" borderId="7" xfId="21" applyNumberFormat="1" applyFont="1" applyBorder="1" applyAlignment="1">
      <alignment vertical="center" wrapText="1"/>
    </xf>
    <xf numFmtId="179" fontId="22" fillId="0" borderId="5" xfId="21" applyNumberFormat="1" applyFont="1" applyBorder="1" applyAlignment="1">
      <alignment vertical="center" wrapText="1"/>
    </xf>
    <xf numFmtId="0" fontId="22" fillId="0" borderId="7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vertical="top"/>
    </xf>
    <xf numFmtId="0" fontId="8" fillId="0" borderId="6" xfId="21" applyNumberFormat="1" applyFont="1" applyBorder="1" applyAlignment="1">
      <alignment vertical="top"/>
    </xf>
    <xf numFmtId="181" fontId="22" fillId="0" borderId="6" xfId="21" applyNumberFormat="1" applyFont="1" applyFill="1" applyBorder="1" applyAlignment="1">
      <alignment horizontal="left" vertical="center" shrinkToFit="1"/>
    </xf>
    <xf numFmtId="181" fontId="22" fillId="0" borderId="5" xfId="21" applyNumberFormat="1" applyFont="1" applyFill="1" applyBorder="1" applyAlignment="1">
      <alignment horizontal="left" vertical="center" shrinkToFit="1"/>
    </xf>
    <xf numFmtId="181" fontId="22" fillId="0" borderId="5" xfId="21" applyNumberFormat="1" applyFont="1" applyBorder="1" applyAlignment="1">
      <alignment horizontal="left" vertical="center"/>
    </xf>
    <xf numFmtId="49" fontId="8" fillId="0" borderId="7" xfId="21" applyNumberFormat="1" applyFont="1" applyBorder="1" applyAlignment="1">
      <alignment horizontal="left" vertical="top" readingOrder="1"/>
    </xf>
    <xf numFmtId="177" fontId="8" fillId="0" borderId="7" xfId="21" applyNumberFormat="1" applyFont="1" applyBorder="1" applyAlignment="1">
      <alignment vertical="center"/>
    </xf>
    <xf numFmtId="177" fontId="8" fillId="0" borderId="7" xfId="21" applyFont="1" applyBorder="1" applyAlignment="1">
      <alignment vertical="center" shrinkToFit="1"/>
    </xf>
    <xf numFmtId="49" fontId="8" fillId="0" borderId="7" xfId="21" applyNumberFormat="1" applyFont="1" applyBorder="1" applyAlignment="1">
      <alignment vertical="top" readingOrder="1"/>
    </xf>
    <xf numFmtId="177" fontId="8" fillId="0" borderId="0" xfId="21" applyFont="1" applyBorder="1" applyAlignment="1">
      <alignment vertical="center"/>
    </xf>
    <xf numFmtId="177" fontId="8" fillId="0" borderId="7" xfId="21" applyFont="1" applyBorder="1" applyAlignment="1" applyProtection="1">
      <alignment horizontal="left" vertical="center"/>
      <protection locked="0"/>
    </xf>
    <xf numFmtId="49" fontId="8" fillId="0" borderId="6" xfId="21" applyNumberFormat="1" applyFont="1" applyBorder="1" applyAlignment="1">
      <alignment horizontal="distributed" vertical="top" readingOrder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/>
    </xf>
    <xf numFmtId="177" fontId="20" fillId="3" borderId="3" xfId="21" applyFont="1" applyFill="1" applyBorder="1" applyAlignment="1">
      <alignment horizontal="center" vertical="center"/>
    </xf>
    <xf numFmtId="49" fontId="8" fillId="0" borderId="5" xfId="21" applyNumberFormat="1" applyFont="1" applyBorder="1" applyAlignment="1">
      <alignment horizontal="distributed" vertical="top" readingOrder="1"/>
    </xf>
    <xf numFmtId="0" fontId="8" fillId="0" borderId="6" xfId="21" applyNumberFormat="1" applyFont="1" applyBorder="1" applyAlignment="1">
      <alignment horizontal="left" vertical="center" wrapText="1" readingOrder="1"/>
    </xf>
    <xf numFmtId="0" fontId="8" fillId="0" borderId="7" xfId="21" applyNumberFormat="1" applyFont="1" applyBorder="1" applyAlignment="1">
      <alignment horizontal="left" vertical="center" readingOrder="1"/>
    </xf>
    <xf numFmtId="0" fontId="8" fillId="0" borderId="7" xfId="21" applyNumberFormat="1" applyFont="1" applyBorder="1" applyAlignment="1">
      <alignment horizontal="distributed" vertical="distributed" readingOrder="1"/>
    </xf>
    <xf numFmtId="0" fontId="8" fillId="0" borderId="7" xfId="21" applyNumberFormat="1" applyFont="1" applyBorder="1" applyAlignment="1">
      <alignment horizontal="left" vertical="top" readingOrder="1"/>
    </xf>
    <xf numFmtId="49" fontId="8" fillId="0" borderId="7" xfId="21" applyNumberFormat="1" applyFont="1" applyBorder="1" applyAlignment="1" applyProtection="1">
      <alignment horizontal="left" vertical="top"/>
      <protection locked="0"/>
    </xf>
    <xf numFmtId="49" fontId="8" fillId="0" borderId="7" xfId="21" applyNumberFormat="1" applyFont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vertical="center"/>
      <protection locked="0"/>
    </xf>
    <xf numFmtId="49" fontId="8" fillId="0" borderId="7" xfId="21" applyNumberFormat="1" applyFont="1" applyBorder="1" applyAlignment="1">
      <alignment vertical="center"/>
    </xf>
    <xf numFmtId="49" fontId="8" fillId="0" borderId="6" xfId="21" applyNumberFormat="1" applyFont="1" applyBorder="1" applyAlignment="1">
      <alignment vertical="center"/>
    </xf>
    <xf numFmtId="177" fontId="8" fillId="0" borderId="5" xfId="21" applyFont="1" applyBorder="1" applyAlignment="1">
      <alignment horizontal="distributed" vertical="top" wrapText="1" readingOrder="1"/>
    </xf>
    <xf numFmtId="0" fontId="8" fillId="0" borderId="7" xfId="0" applyFont="1" applyBorder="1" applyAlignment="1">
      <alignment/>
    </xf>
    <xf numFmtId="49" fontId="8" fillId="0" borderId="7" xfId="28" applyNumberFormat="1" applyFont="1" applyBorder="1" applyAlignment="1">
      <alignment vertical="top" readingOrder="1"/>
    </xf>
    <xf numFmtId="49" fontId="8" fillId="0" borderId="7" xfId="28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center"/>
    </xf>
    <xf numFmtId="0" fontId="8" fillId="0" borderId="7" xfId="21" applyNumberFormat="1" applyFont="1" applyBorder="1" applyAlignment="1">
      <alignment horizontal="distributed" vertical="center" wrapText="1"/>
    </xf>
    <xf numFmtId="49" fontId="8" fillId="0" borderId="7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>
      <alignment vertical="center"/>
    </xf>
    <xf numFmtId="49" fontId="8" fillId="0" borderId="5" xfId="21" applyNumberFormat="1" applyFont="1" applyBorder="1" applyAlignment="1">
      <alignment horizontal="left" vertical="center"/>
    </xf>
    <xf numFmtId="49" fontId="8" fillId="0" borderId="7" xfId="21" applyNumberFormat="1" applyFont="1" applyBorder="1" applyAlignment="1">
      <alignment horizontal="left" vertical="center"/>
    </xf>
    <xf numFmtId="49" fontId="8" fillId="0" borderId="6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/>
    </xf>
    <xf numFmtId="49" fontId="8" fillId="0" borderId="5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177" fontId="8" fillId="0" borderId="7" xfId="21" applyFont="1" applyFill="1" applyBorder="1" applyAlignment="1">
      <alignment vertical="center"/>
    </xf>
    <xf numFmtId="49" fontId="8" fillId="0" borderId="6" xfId="21" applyNumberFormat="1" applyFont="1" applyBorder="1" applyAlignment="1">
      <alignment horizontal="distributed" vertical="center" readingOrder="1"/>
    </xf>
    <xf numFmtId="49" fontId="8" fillId="0" borderId="5" xfId="21" applyNumberFormat="1" applyFont="1" applyBorder="1" applyAlignment="1">
      <alignment horizontal="distributed" vertical="center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4" fillId="0" borderId="0" xfId="0" applyFont="1"/>
    <xf numFmtId="49" fontId="8" fillId="0" borderId="7" xfId="23" applyNumberFormat="1" applyFont="1" applyBorder="1" applyAlignment="1">
      <alignment vertical="center"/>
    </xf>
    <xf numFmtId="177" fontId="8" fillId="0" borderId="8" xfId="23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8" fillId="0" borderId="5" xfId="21" applyNumberFormat="1" applyFont="1" applyBorder="1" applyAlignment="1">
      <alignment horizontal="distributed" vertical="top" wrapText="1"/>
    </xf>
    <xf numFmtId="0" fontId="29" fillId="0" borderId="0" xfId="0" applyFont="1" applyAlignment="1">
      <alignment horizontal="center"/>
    </xf>
    <xf numFmtId="0" fontId="8" fillId="0" borderId="7" xfId="21" applyNumberFormat="1" applyFont="1" applyBorder="1" applyAlignment="1">
      <alignment vertical="center"/>
    </xf>
    <xf numFmtId="177" fontId="8" fillId="0" borderId="7" xfId="21" applyFont="1" applyFill="1" applyBorder="1" applyAlignment="1" applyProtection="1">
      <alignment vertical="center"/>
      <protection/>
    </xf>
    <xf numFmtId="177" fontId="22" fillId="0" borderId="6" xfId="21" applyFont="1" applyBorder="1" applyAlignment="1">
      <alignment horizontal="left" vertical="center" shrinkToFit="1"/>
    </xf>
    <xf numFmtId="0" fontId="8" fillId="0" borderId="3" xfId="21" applyNumberFormat="1" applyFont="1" applyBorder="1" applyAlignment="1">
      <alignment horizontal="left" vertical="center" readingOrder="1"/>
    </xf>
    <xf numFmtId="177" fontId="8" fillId="3" borderId="3" xfId="21" applyFont="1" applyFill="1" applyBorder="1" applyAlignment="1">
      <alignment vertical="center"/>
    </xf>
    <xf numFmtId="177" fontId="29" fillId="3" borderId="3" xfId="21" applyFont="1" applyFill="1" applyBorder="1" applyAlignment="1">
      <alignment vertical="center"/>
    </xf>
    <xf numFmtId="49" fontId="8" fillId="0" borderId="3" xfId="21" applyNumberFormat="1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7" xfId="21" applyNumberFormat="1" applyFont="1" applyBorder="1" applyAlignment="1">
      <alignment horizontal="distributed" vertical="top" wrapText="1" readingOrder="1"/>
    </xf>
    <xf numFmtId="177" fontId="8" fillId="4" borderId="3" xfId="21" applyFont="1" applyFill="1" applyBorder="1" applyAlignment="1">
      <alignment vertical="center"/>
    </xf>
    <xf numFmtId="177" fontId="22" fillId="4" borderId="3" xfId="21" applyFont="1" applyFill="1" applyBorder="1" applyAlignment="1">
      <alignment vertical="center"/>
    </xf>
    <xf numFmtId="177" fontId="8" fillId="0" borderId="9" xfId="21" applyFont="1" applyBorder="1"/>
    <xf numFmtId="0" fontId="8" fillId="0" borderId="7" xfId="21" applyNumberFormat="1" applyFont="1" applyBorder="1" applyAlignment="1">
      <alignment horizontal="distributed" vertical="top" shrinkToFit="1"/>
    </xf>
    <xf numFmtId="3" fontId="8" fillId="0" borderId="7" xfId="0" applyNumberFormat="1" applyFont="1" applyBorder="1" applyAlignment="1">
      <alignment vertical="center"/>
    </xf>
    <xf numFmtId="0" fontId="8" fillId="0" borderId="6" xfId="21" applyNumberFormat="1" applyFont="1" applyBorder="1" applyAlignment="1">
      <alignment horizontal="distributed" vertical="distributed" readingOrder="1"/>
    </xf>
    <xf numFmtId="0" fontId="8" fillId="0" borderId="6" xfId="21" applyNumberFormat="1" applyFont="1" applyBorder="1" applyAlignment="1">
      <alignment horizontal="left" vertical="center" readingOrder="1"/>
    </xf>
    <xf numFmtId="177" fontId="8" fillId="0" borderId="6" xfId="21" applyFont="1" applyFill="1" applyBorder="1" applyAlignment="1">
      <alignment vertical="center"/>
    </xf>
    <xf numFmtId="177" fontId="39" fillId="0" borderId="0" xfId="25" applyFont="1" applyFill="1" applyBorder="1"/>
    <xf numFmtId="0" fontId="41" fillId="0" borderId="3" xfId="22" applyFont="1" applyFill="1" applyBorder="1" applyAlignment="1">
      <alignment horizontal="distributed" vertical="center"/>
    </xf>
    <xf numFmtId="177" fontId="42" fillId="0" borderId="6" xfId="22" applyNumberFormat="1" applyFont="1" applyFill="1" applyBorder="1" applyAlignment="1" applyProtection="1">
      <alignment horizontal="right" vertical="center"/>
      <protection locked="0"/>
    </xf>
    <xf numFmtId="177" fontId="42" fillId="0" borderId="3" xfId="22" applyNumberFormat="1" applyFont="1" applyFill="1" applyBorder="1" applyAlignment="1" applyProtection="1">
      <alignment horizontal="right" vertical="center"/>
      <protection locked="0"/>
    </xf>
    <xf numFmtId="0" fontId="41" fillId="0" borderId="3" xfId="22" applyFont="1" applyFill="1" applyBorder="1" applyAlignment="1">
      <alignment horizontal="distributed" vertical="center" wrapText="1"/>
    </xf>
    <xf numFmtId="0" fontId="43" fillId="0" borderId="3" xfId="22" applyFont="1" applyFill="1" applyBorder="1" applyAlignment="1">
      <alignment horizontal="distributed" vertical="center"/>
    </xf>
    <xf numFmtId="177" fontId="42" fillId="0" borderId="3" xfId="22" applyNumberFormat="1" applyFont="1" applyFill="1" applyBorder="1" applyAlignment="1" applyProtection="1" quotePrefix="1">
      <alignment horizontal="right" vertical="center"/>
      <protection locked="0"/>
    </xf>
    <xf numFmtId="177" fontId="42" fillId="0" borderId="3" xfId="22" applyNumberFormat="1" applyFont="1" applyFill="1" applyBorder="1" applyAlignment="1">
      <alignment horizontal="right" vertical="center"/>
    </xf>
    <xf numFmtId="177" fontId="42" fillId="0" borderId="3" xfId="22" applyNumberFormat="1" applyFont="1" applyFill="1" applyBorder="1" applyAlignment="1" applyProtection="1">
      <alignment horizontal="center" vertical="center"/>
      <protection locked="0"/>
    </xf>
    <xf numFmtId="0" fontId="43" fillId="0" borderId="3" xfId="22" applyFont="1" applyFill="1" applyBorder="1" applyAlignment="1">
      <alignment horizontal="distributed" vertical="center" shrinkToFit="1"/>
    </xf>
    <xf numFmtId="177" fontId="46" fillId="0" borderId="0" xfId="25" applyFont="1" applyFill="1" applyBorder="1" applyAlignment="1">
      <alignment horizontal="center"/>
    </xf>
    <xf numFmtId="0" fontId="8" fillId="0" borderId="6" xfId="21" applyNumberFormat="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188" fontId="8" fillId="0" borderId="7" xfId="21" applyNumberFormat="1" applyFont="1" applyBorder="1" applyAlignment="1">
      <alignment vertical="center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177" fontId="20" fillId="3" borderId="3" xfId="21" applyFont="1" applyFill="1" applyBorder="1" applyAlignment="1">
      <alignment horizontal="center" vertical="center"/>
    </xf>
    <xf numFmtId="0" fontId="22" fillId="0" borderId="7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vertical="top"/>
    </xf>
    <xf numFmtId="0" fontId="8" fillId="0" borderId="6" xfId="21" applyNumberFormat="1" applyFont="1" applyBorder="1" applyAlignment="1">
      <alignment horizontal="distributed" vertical="top" readingOrder="1"/>
    </xf>
    <xf numFmtId="177" fontId="8" fillId="0" borderId="3" xfId="21" applyFont="1" applyBorder="1" applyAlignment="1" applyProtection="1">
      <alignment vertical="center"/>
      <protection locked="0"/>
    </xf>
    <xf numFmtId="0" fontId="8" fillId="0" borderId="7" xfId="21" applyNumberFormat="1" applyFont="1" applyFill="1" applyBorder="1" applyAlignment="1">
      <alignment horizontal="left" vertical="center"/>
    </xf>
    <xf numFmtId="0" fontId="8" fillId="0" borderId="7" xfId="21" applyNumberFormat="1" applyFont="1" applyBorder="1"/>
    <xf numFmtId="0" fontId="8" fillId="0" borderId="5" xfId="21" applyNumberFormat="1" applyFont="1" applyBorder="1" applyAlignment="1">
      <alignment horizontal="left" vertical="center"/>
    </xf>
    <xf numFmtId="49" fontId="8" fillId="0" borderId="6" xfId="21" applyNumberFormat="1" applyFont="1" applyBorder="1" applyAlignment="1">
      <alignment horizontal="left" vertical="top" readingOrder="1"/>
    </xf>
    <xf numFmtId="0" fontId="8" fillId="0" borderId="5" xfId="21" applyNumberFormat="1" applyFont="1" applyBorder="1" applyAlignment="1">
      <alignment vertical="top" wrapText="1" readingOrder="1"/>
    </xf>
    <xf numFmtId="0" fontId="41" fillId="0" borderId="3" xfId="22" applyNumberFormat="1" applyFont="1" applyFill="1" applyBorder="1" applyAlignment="1">
      <alignment horizontal="distributed" vertical="center"/>
    </xf>
    <xf numFmtId="177" fontId="42" fillId="0" borderId="3" xfId="22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5" borderId="10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 wrapText="1"/>
    </xf>
    <xf numFmtId="41" fontId="49" fillId="3" borderId="13" xfId="0" applyNumberFormat="1" applyFont="1" applyFill="1" applyBorder="1" applyAlignment="1">
      <alignment horizontal="left" vertical="center" shrinkToFit="1"/>
    </xf>
    <xf numFmtId="41" fontId="49" fillId="3" borderId="14" xfId="0" applyNumberFormat="1" applyFont="1" applyFill="1" applyBorder="1" applyAlignment="1">
      <alignment vertical="center"/>
    </xf>
    <xf numFmtId="41" fontId="49" fillId="3" borderId="15" xfId="0" applyNumberFormat="1" applyFont="1" applyFill="1" applyBorder="1" applyAlignment="1">
      <alignment horizontal="left" vertical="center" shrinkToFit="1"/>
    </xf>
    <xf numFmtId="41" fontId="49" fillId="3" borderId="15" xfId="0" applyNumberFormat="1" applyFont="1" applyFill="1" applyBorder="1" applyAlignment="1">
      <alignment vertical="center"/>
    </xf>
    <xf numFmtId="41" fontId="49" fillId="6" borderId="15" xfId="0" applyNumberFormat="1" applyFont="1" applyFill="1" applyBorder="1" applyAlignment="1">
      <alignment horizontal="left" vertical="center" shrinkToFit="1"/>
    </xf>
    <xf numFmtId="41" fontId="49" fillId="6" borderId="15" xfId="0" applyNumberFormat="1" applyFont="1" applyFill="1" applyBorder="1" applyAlignment="1">
      <alignment vertical="center"/>
    </xf>
    <xf numFmtId="41" fontId="49" fillId="5" borderId="16" xfId="0" applyNumberFormat="1" applyFont="1" applyFill="1" applyBorder="1" applyAlignment="1">
      <alignment horizontal="left" vertical="center" shrinkToFit="1"/>
    </xf>
    <xf numFmtId="41" fontId="49" fillId="5" borderId="16" xfId="0" applyNumberFormat="1" applyFont="1" applyFill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right" vertical="center"/>
    </xf>
    <xf numFmtId="0" fontId="49" fillId="7" borderId="17" xfId="0" applyFont="1" applyFill="1" applyBorder="1" applyAlignment="1">
      <alignment vertical="center"/>
    </xf>
    <xf numFmtId="0" fontId="49" fillId="7" borderId="18" xfId="0" applyFont="1" applyFill="1" applyBorder="1" applyAlignment="1">
      <alignment vertical="center"/>
    </xf>
    <xf numFmtId="41" fontId="49" fillId="7" borderId="18" xfId="0" applyNumberFormat="1" applyFont="1" applyFill="1" applyBorder="1" applyAlignment="1">
      <alignment vertical="center"/>
    </xf>
    <xf numFmtId="0" fontId="49" fillId="7" borderId="19" xfId="0" applyFont="1" applyFill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41" fontId="49" fillId="8" borderId="21" xfId="0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3" borderId="21" xfId="0" applyFont="1" applyFill="1" applyBorder="1" applyAlignment="1">
      <alignment vertical="center"/>
    </xf>
    <xf numFmtId="41" fontId="49" fillId="0" borderId="21" xfId="0" applyNumberFormat="1" applyFont="1" applyBorder="1" applyAlignment="1">
      <alignment vertical="center"/>
    </xf>
    <xf numFmtId="187" fontId="49" fillId="0" borderId="21" xfId="0" applyNumberFormat="1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9" fillId="8" borderId="23" xfId="0" applyFont="1" applyFill="1" applyBorder="1" applyAlignment="1">
      <alignment vertical="center"/>
    </xf>
    <xf numFmtId="41" fontId="49" fillId="8" borderId="23" xfId="0" applyNumberFormat="1" applyFont="1" applyFill="1" applyBorder="1" applyAlignment="1">
      <alignment vertical="center"/>
    </xf>
    <xf numFmtId="0" fontId="49" fillId="0" borderId="24" xfId="0" applyFont="1" applyBorder="1" applyAlignment="1">
      <alignment vertical="center"/>
    </xf>
    <xf numFmtId="41" fontId="49" fillId="0" borderId="24" xfId="0" applyNumberFormat="1" applyFont="1" applyBorder="1" applyAlignment="1">
      <alignment vertical="center"/>
    </xf>
    <xf numFmtId="187" fontId="49" fillId="0" borderId="24" xfId="0" applyNumberFormat="1" applyFont="1" applyBorder="1" applyAlignment="1">
      <alignment vertical="center"/>
    </xf>
    <xf numFmtId="0" fontId="49" fillId="7" borderId="25" xfId="0" applyFont="1" applyFill="1" applyBorder="1" applyAlignment="1">
      <alignment vertical="center"/>
    </xf>
    <xf numFmtId="0" fontId="49" fillId="7" borderId="21" xfId="0" applyFont="1" applyFill="1" applyBorder="1" applyAlignment="1">
      <alignment vertical="center"/>
    </xf>
    <xf numFmtId="41" fontId="49" fillId="7" borderId="21" xfId="0" applyNumberFormat="1" applyFont="1" applyFill="1" applyBorder="1" applyAlignment="1">
      <alignment vertical="center"/>
    </xf>
    <xf numFmtId="0" fontId="49" fillId="7" borderId="26" xfId="0" applyFont="1" applyFill="1" applyBorder="1" applyAlignment="1">
      <alignment vertical="center"/>
    </xf>
    <xf numFmtId="41" fontId="49" fillId="0" borderId="0" xfId="0" applyNumberFormat="1" applyFont="1" applyBorder="1" applyAlignment="1">
      <alignment vertical="center"/>
    </xf>
    <xf numFmtId="187" fontId="49" fillId="0" borderId="0" xfId="0" applyNumberFormat="1" applyFont="1" applyBorder="1" applyAlignment="1">
      <alignment vertical="center"/>
    </xf>
    <xf numFmtId="177" fontId="49" fillId="0" borderId="21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1" fontId="49" fillId="0" borderId="24" xfId="0" applyNumberFormat="1" applyFont="1" applyFill="1" applyBorder="1" applyAlignment="1">
      <alignment vertical="center"/>
    </xf>
    <xf numFmtId="187" fontId="49" fillId="0" borderId="24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6" borderId="25" xfId="0" applyFont="1" applyFill="1" applyBorder="1" applyAlignment="1">
      <alignment vertical="center"/>
    </xf>
    <xf numFmtId="0" fontId="49" fillId="6" borderId="21" xfId="0" applyFont="1" applyFill="1" applyBorder="1" applyAlignment="1">
      <alignment vertical="center"/>
    </xf>
    <xf numFmtId="41" fontId="49" fillId="6" borderId="21" xfId="0" applyNumberFormat="1" applyFont="1" applyFill="1" applyBorder="1" applyAlignment="1">
      <alignment vertical="center"/>
    </xf>
    <xf numFmtId="0" fontId="49" fillId="6" borderId="26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9" borderId="25" xfId="0" applyFont="1" applyFill="1" applyBorder="1" applyAlignment="1">
      <alignment vertical="center"/>
    </xf>
    <xf numFmtId="0" fontId="49" fillId="9" borderId="21" xfId="0" applyFont="1" applyFill="1" applyBorder="1" applyAlignment="1">
      <alignment vertical="center"/>
    </xf>
    <xf numFmtId="41" fontId="49" fillId="9" borderId="21" xfId="0" applyNumberFormat="1" applyFont="1" applyFill="1" applyBorder="1" applyAlignment="1">
      <alignment vertical="center"/>
    </xf>
    <xf numFmtId="187" fontId="49" fillId="0" borderId="21" xfId="0" applyNumberFormat="1" applyFont="1" applyFill="1" applyBorder="1" applyAlignment="1">
      <alignment vertical="center"/>
    </xf>
    <xf numFmtId="41" fontId="49" fillId="0" borderId="21" xfId="0" applyNumberFormat="1" applyFont="1" applyFill="1" applyBorder="1" applyAlignment="1">
      <alignment vertical="center"/>
    </xf>
    <xf numFmtId="41" fontId="49" fillId="6" borderId="27" xfId="0" applyNumberFormat="1" applyFont="1" applyFill="1" applyBorder="1" applyAlignment="1">
      <alignment vertical="center"/>
    </xf>
    <xf numFmtId="0" fontId="49" fillId="3" borderId="24" xfId="0" applyFont="1" applyFill="1" applyBorder="1" applyAlignment="1">
      <alignment vertical="center"/>
    </xf>
    <xf numFmtId="0" fontId="49" fillId="3" borderId="21" xfId="0" applyFont="1" applyFill="1" applyBorder="1" applyAlignment="1">
      <alignment vertical="center" shrinkToFit="1"/>
    </xf>
    <xf numFmtId="0" fontId="49" fillId="3" borderId="24" xfId="0" applyFont="1" applyFill="1" applyBorder="1" applyAlignment="1">
      <alignment vertical="center" shrinkToFit="1"/>
    </xf>
    <xf numFmtId="41" fontId="49" fillId="10" borderId="21" xfId="0" applyNumberFormat="1" applyFont="1" applyFill="1" applyBorder="1" applyAlignment="1">
      <alignment vertical="center"/>
    </xf>
    <xf numFmtId="187" fontId="49" fillId="10" borderId="21" xfId="0" applyNumberFormat="1" applyFont="1" applyFill="1" applyBorder="1" applyAlignment="1">
      <alignment vertical="center"/>
    </xf>
    <xf numFmtId="187" fontId="49" fillId="10" borderId="24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11" borderId="28" xfId="0" applyFont="1" applyFill="1" applyBorder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50" fillId="11" borderId="30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40" fillId="5" borderId="3" xfId="22" applyNumberFormat="1" applyFont="1" applyFill="1" applyBorder="1" applyAlignment="1">
      <alignment vertical="center"/>
    </xf>
    <xf numFmtId="0" fontId="38" fillId="12" borderId="3" xfId="22" applyFont="1" applyFill="1" applyBorder="1" applyAlignment="1">
      <alignment horizontal="distributed" vertical="center"/>
    </xf>
    <xf numFmtId="177" fontId="42" fillId="12" borderId="3" xfId="22" applyNumberFormat="1" applyFont="1" applyFill="1" applyBorder="1" applyAlignment="1">
      <alignment horizontal="right" vertical="center"/>
    </xf>
    <xf numFmtId="177" fontId="42" fillId="12" borderId="3" xfId="22" applyNumberFormat="1" applyFont="1" applyFill="1" applyBorder="1" applyAlignment="1">
      <alignment horizontal="center" vertical="center"/>
    </xf>
    <xf numFmtId="0" fontId="38" fillId="12" borderId="5" xfId="22" applyFont="1" applyFill="1" applyBorder="1" applyAlignment="1">
      <alignment horizontal="distributed" vertical="center"/>
    </xf>
    <xf numFmtId="177" fontId="42" fillId="12" borderId="5" xfId="22" applyNumberFormat="1" applyFont="1" applyFill="1" applyBorder="1" applyAlignment="1">
      <alignment horizontal="right" vertical="center"/>
    </xf>
    <xf numFmtId="177" fontId="42" fillId="12" borderId="5" xfId="22" applyNumberFormat="1" applyFont="1" applyFill="1" applyBorder="1" applyAlignment="1">
      <alignment horizontal="center" vertical="center"/>
    </xf>
    <xf numFmtId="177" fontId="42" fillId="13" borderId="3" xfId="22" applyNumberFormat="1" applyFont="1" applyFill="1" applyBorder="1" applyAlignment="1">
      <alignment horizontal="right" vertical="center"/>
    </xf>
    <xf numFmtId="177" fontId="42" fillId="13" borderId="3" xfId="22" applyNumberFormat="1" applyFont="1" applyFill="1" applyBorder="1" applyAlignment="1">
      <alignment horizontal="center" vertical="center"/>
    </xf>
    <xf numFmtId="0" fontId="41" fillId="0" borderId="6" xfId="22" applyFont="1" applyFill="1" applyBorder="1" applyAlignment="1">
      <alignment horizontal="distributed" vertical="center"/>
    </xf>
    <xf numFmtId="177" fontId="42" fillId="14" borderId="3" xfId="22" applyNumberFormat="1" applyFont="1" applyFill="1" applyBorder="1" applyAlignment="1">
      <alignment horizontal="right" vertical="center"/>
    </xf>
    <xf numFmtId="177" fontId="42" fillId="14" borderId="3" xfId="22" applyNumberFormat="1" applyFont="1" applyFill="1" applyBorder="1" applyAlignment="1">
      <alignment horizontal="center" vertical="center"/>
    </xf>
    <xf numFmtId="0" fontId="41" fillId="12" borderId="3" xfId="22" applyNumberFormat="1" applyFont="1" applyFill="1" applyBorder="1" applyAlignment="1">
      <alignment horizontal="distributed" vertical="center"/>
    </xf>
    <xf numFmtId="177" fontId="42" fillId="12" borderId="3" xfId="22" applyNumberFormat="1" applyFont="1" applyFill="1" applyBorder="1" applyAlignment="1" applyProtection="1">
      <alignment horizontal="right" vertical="center"/>
      <protection locked="0"/>
    </xf>
    <xf numFmtId="0" fontId="41" fillId="0" borderId="5" xfId="22" applyNumberFormat="1" applyFont="1" applyFill="1" applyBorder="1" applyAlignment="1">
      <alignment horizontal="distributed" vertical="center"/>
    </xf>
    <xf numFmtId="0" fontId="41" fillId="12" borderId="5" xfId="22" applyNumberFormat="1" applyFont="1" applyFill="1" applyBorder="1" applyAlignment="1">
      <alignment horizontal="distributed" vertical="center"/>
    </xf>
    <xf numFmtId="177" fontId="42" fillId="13" borderId="3" xfId="22" applyNumberFormat="1" applyFont="1" applyFill="1" applyBorder="1" applyAlignment="1" applyProtection="1">
      <alignment horizontal="right" vertical="center"/>
      <protection locked="0"/>
    </xf>
    <xf numFmtId="177" fontId="42" fillId="14" borderId="3" xfId="22" applyNumberFormat="1" applyFont="1" applyFill="1" applyBorder="1" applyAlignment="1" applyProtection="1">
      <alignment horizontal="right" vertical="center"/>
      <protection locked="0"/>
    </xf>
    <xf numFmtId="0" fontId="41" fillId="12" borderId="3" xfId="22" applyNumberFormat="1" applyFont="1" applyFill="1" applyBorder="1" applyAlignment="1">
      <alignment horizontal="center" vertical="center" wrapText="1"/>
    </xf>
    <xf numFmtId="0" fontId="41" fillId="0" borderId="6" xfId="22" applyNumberFormat="1" applyFont="1" applyFill="1" applyBorder="1" applyAlignment="1">
      <alignment horizontal="distributed" vertical="center"/>
    </xf>
    <xf numFmtId="177" fontId="42" fillId="0" borderId="6" xfId="22" applyNumberFormat="1" applyFont="1" applyFill="1" applyBorder="1" applyAlignment="1">
      <alignment horizontal="right" vertical="center"/>
    </xf>
    <xf numFmtId="0" fontId="41" fillId="12" borderId="3" xfId="22" applyNumberFormat="1" applyFont="1" applyFill="1" applyBorder="1" applyAlignment="1">
      <alignment horizontal="distributed" vertical="distributed"/>
    </xf>
    <xf numFmtId="177" fontId="40" fillId="15" borderId="3" xfId="22" applyNumberFormat="1" applyFont="1" applyFill="1" applyBorder="1" applyAlignment="1">
      <alignment horizontal="center" vertical="center"/>
    </xf>
    <xf numFmtId="177" fontId="22" fillId="0" borderId="5" xfId="21" applyFont="1" applyFill="1" applyBorder="1" applyAlignment="1">
      <alignment horizontal="center" vertical="center"/>
    </xf>
    <xf numFmtId="177" fontId="22" fillId="0" borderId="0" xfId="21" applyFont="1" applyFill="1" applyAlignment="1">
      <alignment vertical="center"/>
    </xf>
    <xf numFmtId="177" fontId="22" fillId="0" borderId="0" xfId="21" applyFont="1" applyAlignment="1">
      <alignment vertical="center"/>
    </xf>
    <xf numFmtId="177" fontId="22" fillId="0" borderId="0" xfId="21" applyFont="1" applyAlignment="1">
      <alignment horizontal="left" vertical="center"/>
    </xf>
    <xf numFmtId="177" fontId="22" fillId="0" borderId="5" xfId="21" applyFont="1" applyBorder="1" applyAlignment="1">
      <alignment vertical="center" shrinkToFit="1"/>
    </xf>
    <xf numFmtId="177" fontId="52" fillId="0" borderId="0" xfId="21" applyFont="1" applyAlignment="1">
      <alignment vertical="center"/>
    </xf>
    <xf numFmtId="177" fontId="22" fillId="0" borderId="0" xfId="21" applyFont="1" applyAlignment="1">
      <alignment horizontal="left" vertical="top"/>
    </xf>
    <xf numFmtId="177" fontId="22" fillId="0" borderId="6" xfId="21" applyFont="1" applyBorder="1" applyAlignment="1">
      <alignment horizontal="center" vertical="center" shrinkToFit="1"/>
    </xf>
    <xf numFmtId="177" fontId="22" fillId="0" borderId="6" xfId="21" applyNumberFormat="1" applyFont="1" applyBorder="1" applyAlignment="1">
      <alignment vertical="center" shrinkToFit="1"/>
    </xf>
    <xf numFmtId="177" fontId="22" fillId="0" borderId="5" xfId="21" applyNumberFormat="1" applyFont="1" applyBorder="1" applyAlignment="1">
      <alignment vertical="center" shrinkToFit="1"/>
    </xf>
    <xf numFmtId="177" fontId="22" fillId="2" borderId="5" xfId="21" applyFont="1" applyFill="1" applyBorder="1" applyAlignment="1">
      <alignment vertical="center" shrinkToFit="1"/>
    </xf>
    <xf numFmtId="177" fontId="22" fillId="0" borderId="5" xfId="21" applyNumberFormat="1" applyFont="1" applyBorder="1" applyAlignment="1">
      <alignment horizontal="left" vertical="center" shrinkToFit="1"/>
    </xf>
    <xf numFmtId="177" fontId="22" fillId="0" borderId="7" xfId="21" applyNumberFormat="1" applyFont="1" applyBorder="1" applyAlignment="1">
      <alignment vertical="center" shrinkToFit="1"/>
    </xf>
    <xf numFmtId="177" fontId="22" fillId="0" borderId="7" xfId="21" applyFont="1" applyBorder="1" applyAlignment="1">
      <alignment vertical="center" shrinkToFit="1"/>
    </xf>
    <xf numFmtId="177" fontId="22" fillId="0" borderId="5" xfId="21" applyFont="1" applyBorder="1" applyAlignment="1" applyProtection="1">
      <alignment vertical="center" shrinkToFit="1"/>
      <protection locked="0"/>
    </xf>
    <xf numFmtId="177" fontId="22" fillId="0" borderId="6" xfId="21" applyFont="1" applyBorder="1" applyAlignment="1" applyProtection="1">
      <alignment vertical="center" shrinkToFit="1"/>
      <protection locked="0"/>
    </xf>
    <xf numFmtId="177" fontId="22" fillId="0" borderId="5" xfId="21" applyFont="1" applyBorder="1" applyAlignment="1" applyProtection="1">
      <alignment horizontal="left" vertical="center" shrinkToFit="1"/>
      <protection locked="0"/>
    </xf>
    <xf numFmtId="177" fontId="22" fillId="0" borderId="7" xfId="21" applyFont="1" applyBorder="1" applyAlignment="1" applyProtection="1">
      <alignment vertical="center" shrinkToFit="1"/>
      <protection locked="0"/>
    </xf>
    <xf numFmtId="177" fontId="22" fillId="0" borderId="3" xfId="21" applyFont="1" applyBorder="1" applyAlignment="1">
      <alignment vertical="center" shrinkToFit="1"/>
    </xf>
    <xf numFmtId="177" fontId="22" fillId="0" borderId="6" xfId="21" applyFont="1" applyBorder="1" applyAlignment="1" applyProtection="1">
      <alignment vertical="center" shrinkToFit="1"/>
      <protection/>
    </xf>
    <xf numFmtId="177" fontId="22" fillId="0" borderId="5" xfId="21" applyFont="1" applyBorder="1" applyAlignment="1" applyProtection="1">
      <alignment vertical="center" shrinkToFit="1"/>
      <protection/>
    </xf>
    <xf numFmtId="177" fontId="22" fillId="0" borderId="5" xfId="21" applyFont="1" applyFill="1" applyBorder="1" applyAlignment="1">
      <alignment vertical="center" shrinkToFit="1"/>
    </xf>
    <xf numFmtId="177" fontId="22" fillId="0" borderId="3" xfId="21" applyFont="1" applyFill="1" applyBorder="1" applyAlignment="1">
      <alignment vertical="center" shrinkToFit="1"/>
    </xf>
    <xf numFmtId="177" fontId="22" fillId="3" borderId="3" xfId="21" applyFont="1" applyFill="1" applyBorder="1" applyAlignment="1">
      <alignment vertical="center" shrinkToFit="1"/>
    </xf>
    <xf numFmtId="0" fontId="22" fillId="0" borderId="5" xfId="21" applyNumberFormat="1" applyFont="1" applyFill="1" applyBorder="1" applyAlignment="1">
      <alignment horizontal="left" vertical="center" shrinkToFit="1"/>
    </xf>
    <xf numFmtId="177" fontId="22" fillId="0" borderId="5" xfId="21" applyFont="1" applyFill="1" applyBorder="1" applyAlignment="1">
      <alignment horizontal="center" vertical="center" shrinkToFit="1"/>
    </xf>
    <xf numFmtId="49" fontId="22" fillId="0" borderId="6" xfId="21" applyNumberFormat="1" applyFont="1" applyBorder="1" applyAlignment="1">
      <alignment horizontal="distributed" vertical="top" shrinkToFit="1"/>
    </xf>
    <xf numFmtId="49" fontId="22" fillId="0" borderId="5" xfId="21" applyNumberFormat="1" applyFont="1" applyBorder="1" applyAlignment="1">
      <alignment horizontal="left" shrinkToFit="1"/>
    </xf>
    <xf numFmtId="49" fontId="22" fillId="0" borderId="5" xfId="21" applyNumberFormat="1" applyFont="1" applyBorder="1" applyAlignment="1">
      <alignment horizontal="distributed" vertical="top" shrinkToFit="1"/>
    </xf>
    <xf numFmtId="49" fontId="22" fillId="0" borderId="5" xfId="21" applyNumberFormat="1" applyFont="1" applyBorder="1" applyAlignment="1">
      <alignment horizontal="left" vertical="center" shrinkToFit="1"/>
    </xf>
    <xf numFmtId="49" fontId="22" fillId="0" borderId="6" xfId="21" applyNumberFormat="1" applyFont="1" applyBorder="1" applyAlignment="1">
      <alignment horizontal="distributed" vertical="center" shrinkToFit="1"/>
    </xf>
    <xf numFmtId="49" fontId="22" fillId="0" borderId="5" xfId="28" applyNumberFormat="1" applyFont="1" applyBorder="1" applyAlignment="1">
      <alignment horizontal="left" vertical="top" shrinkToFit="1"/>
    </xf>
    <xf numFmtId="49" fontId="22" fillId="0" borderId="5" xfId="21" applyNumberFormat="1" applyFont="1" applyBorder="1" applyAlignment="1">
      <alignment horizontal="distributed" vertical="center" shrinkToFit="1"/>
    </xf>
    <xf numFmtId="49" fontId="22" fillId="0" borderId="6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left" vertical="top" shrinkToFit="1"/>
    </xf>
    <xf numFmtId="49" fontId="22" fillId="0" borderId="5" xfId="21" applyNumberFormat="1" applyFont="1" applyBorder="1" applyAlignment="1">
      <alignment horizontal="left" vertical="top" shrinkToFit="1"/>
    </xf>
    <xf numFmtId="49" fontId="22" fillId="0" borderId="7" xfId="21" applyNumberFormat="1" applyFont="1" applyBorder="1" applyAlignment="1">
      <alignment horizontal="distributed" vertical="top" shrinkToFit="1"/>
    </xf>
    <xf numFmtId="49" fontId="22" fillId="0" borderId="7" xfId="21" applyNumberFormat="1" applyFont="1" applyBorder="1" applyAlignment="1">
      <alignment horizontal="distributed" vertical="center" shrinkToFit="1"/>
    </xf>
    <xf numFmtId="0" fontId="22" fillId="0" borderId="7" xfId="21" applyNumberFormat="1" applyFont="1" applyBorder="1" applyAlignment="1">
      <alignment vertical="top" shrinkToFit="1"/>
    </xf>
    <xf numFmtId="0" fontId="22" fillId="0" borderId="6" xfId="21" applyNumberFormat="1" applyFont="1" applyBorder="1" applyAlignment="1">
      <alignment horizontal="distributed" vertical="center" shrinkToFit="1"/>
    </xf>
    <xf numFmtId="0" fontId="22" fillId="0" borderId="7" xfId="21" applyNumberFormat="1" applyFont="1" applyBorder="1" applyAlignment="1">
      <alignment horizontal="left" vertical="center" shrinkToFit="1"/>
    </xf>
    <xf numFmtId="0" fontId="22" fillId="0" borderId="5" xfId="21" applyNumberFormat="1" applyFont="1" applyBorder="1" applyAlignment="1">
      <alignment horizontal="left" vertical="center" shrinkToFit="1"/>
    </xf>
    <xf numFmtId="0" fontId="22" fillId="0" borderId="6" xfId="21" applyNumberFormat="1" applyFont="1" applyBorder="1" applyAlignment="1">
      <alignment vertical="top" shrinkToFit="1"/>
    </xf>
    <xf numFmtId="0" fontId="22" fillId="0" borderId="5" xfId="21" applyNumberFormat="1" applyFont="1" applyBorder="1" applyAlignment="1">
      <alignment horizontal="distributed" vertical="center" shrinkToFit="1"/>
    </xf>
    <xf numFmtId="0" fontId="22" fillId="0" borderId="7" xfId="21" applyNumberFormat="1" applyFont="1" applyBorder="1" applyAlignment="1">
      <alignment horizontal="distributed" vertical="top" shrinkToFit="1"/>
    </xf>
    <xf numFmtId="0" fontId="22" fillId="0" borderId="7" xfId="21" applyNumberFormat="1" applyFont="1" applyBorder="1" applyAlignment="1">
      <alignment horizontal="distributed" vertical="center" shrinkToFit="1"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3" xfId="21" applyNumberFormat="1" applyFont="1" applyBorder="1" applyAlignment="1">
      <alignment horizontal="left" vertical="center" shrinkToFit="1"/>
    </xf>
    <xf numFmtId="0" fontId="22" fillId="0" borderId="7" xfId="21" applyNumberFormat="1" applyFont="1" applyBorder="1" applyAlignment="1">
      <alignment horizontal="center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22" fillId="0" borderId="7" xfId="21" applyNumberFormat="1" applyFont="1" applyBorder="1" applyAlignment="1">
      <alignment horizontal="left" vertical="top" shrinkToFit="1"/>
    </xf>
    <xf numFmtId="177" fontId="22" fillId="0" borderId="3" xfId="21" applyFont="1" applyBorder="1" applyAlignment="1">
      <alignment horizontal="distributed" vertical="top" shrinkToFit="1"/>
    </xf>
    <xf numFmtId="177" fontId="22" fillId="0" borderId="3" xfId="21" applyFont="1" applyBorder="1" applyAlignment="1">
      <alignment horizontal="distributed" vertical="center" shrinkToFit="1"/>
    </xf>
    <xf numFmtId="177" fontId="22" fillId="0" borderId="5" xfId="21" applyFont="1" applyBorder="1" applyAlignment="1">
      <alignment horizontal="distributed" vertical="center" shrinkToFit="1"/>
    </xf>
    <xf numFmtId="177" fontId="22" fillId="0" borderId="6" xfId="21" applyFont="1" applyBorder="1" applyAlignment="1">
      <alignment horizontal="distributed" vertical="center" shrinkToFit="1"/>
    </xf>
    <xf numFmtId="49" fontId="22" fillId="0" borderId="7" xfId="21" applyNumberFormat="1" applyFont="1" applyBorder="1" applyAlignment="1">
      <alignment vertical="top" shrinkToFit="1"/>
    </xf>
    <xf numFmtId="177" fontId="22" fillId="0" borderId="0" xfId="21" applyFont="1" applyFill="1" applyAlignment="1">
      <alignment horizontal="center" shrinkToFit="1"/>
    </xf>
    <xf numFmtId="0" fontId="22" fillId="0" borderId="6" xfId="21" applyNumberFormat="1" applyFont="1" applyBorder="1" applyAlignment="1">
      <alignment shrinkToFit="1"/>
    </xf>
    <xf numFmtId="177" fontId="22" fillId="0" borderId="0" xfId="21" applyFont="1" applyAlignment="1">
      <alignment shrinkToFit="1"/>
    </xf>
    <xf numFmtId="0" fontId="22" fillId="0" borderId="5" xfId="21" applyNumberFormat="1" applyFont="1" applyBorder="1" applyAlignment="1">
      <alignment shrinkToFit="1"/>
    </xf>
    <xf numFmtId="0" fontId="22" fillId="0" borderId="6" xfId="21" applyNumberFormat="1" applyFont="1" applyBorder="1" applyAlignment="1">
      <alignment horizontal="left" vertical="center" shrinkToFit="1"/>
    </xf>
    <xf numFmtId="177" fontId="22" fillId="0" borderId="0" xfId="21" applyFont="1" applyBorder="1" applyAlignment="1">
      <alignment shrinkToFit="1"/>
    </xf>
    <xf numFmtId="177" fontId="22" fillId="0" borderId="7" xfId="21" applyFont="1" applyBorder="1" applyAlignment="1" applyProtection="1">
      <alignment vertical="center" shrinkToFit="1"/>
      <protection/>
    </xf>
    <xf numFmtId="177" fontId="22" fillId="0" borderId="7" xfId="21" applyFont="1" applyBorder="1" applyAlignment="1">
      <alignment shrinkToFit="1"/>
    </xf>
    <xf numFmtId="177" fontId="22" fillId="0" borderId="0" xfId="21" applyFont="1" applyBorder="1" applyAlignment="1">
      <alignment horizontal="left" shrinkToFit="1"/>
    </xf>
    <xf numFmtId="0" fontId="22" fillId="0" borderId="6" xfId="21" applyNumberFormat="1" applyFont="1" applyBorder="1" applyAlignment="1">
      <alignment horizontal="left" vertical="top" shrinkToFit="1"/>
    </xf>
    <xf numFmtId="177" fontId="22" fillId="0" borderId="7" xfId="21" applyFont="1" applyBorder="1" applyAlignment="1">
      <alignment horizontal="left" vertical="center" shrinkToFit="1"/>
    </xf>
    <xf numFmtId="0" fontId="22" fillId="0" borderId="3" xfId="21" applyNumberFormat="1" applyFont="1" applyBorder="1" applyAlignment="1">
      <alignment horizontal="left" vertical="top" shrinkToFit="1"/>
    </xf>
    <xf numFmtId="180" fontId="22" fillId="0" borderId="6" xfId="21" applyNumberFormat="1" applyFont="1" applyFill="1" applyBorder="1" applyAlignment="1">
      <alignment horizontal="left" vertical="center" shrinkToFit="1"/>
    </xf>
    <xf numFmtId="180" fontId="22" fillId="0" borderId="5" xfId="21" applyNumberFormat="1" applyFont="1" applyFill="1" applyBorder="1" applyAlignment="1">
      <alignment horizontal="left" vertical="center" shrinkToFit="1"/>
    </xf>
    <xf numFmtId="182" fontId="22" fillId="0" borderId="6" xfId="21" applyNumberFormat="1" applyFont="1" applyFill="1" applyBorder="1" applyAlignment="1">
      <alignment horizontal="left" vertical="center" shrinkToFit="1"/>
    </xf>
    <xf numFmtId="182" fontId="22" fillId="0" borderId="5" xfId="21" applyNumberFormat="1" applyFont="1" applyFill="1" applyBorder="1" applyAlignment="1">
      <alignment horizontal="left" vertical="center" shrinkToFit="1"/>
    </xf>
    <xf numFmtId="0" fontId="22" fillId="0" borderId="5" xfId="21" applyNumberFormat="1" applyFont="1" applyBorder="1" applyAlignment="1">
      <alignment vertical="top" shrinkToFit="1"/>
    </xf>
    <xf numFmtId="177" fontId="22" fillId="0" borderId="5" xfId="21" applyFont="1" applyBorder="1" applyAlignment="1" applyProtection="1">
      <alignment horizontal="left" vertical="center" shrinkToFit="1"/>
      <protection/>
    </xf>
    <xf numFmtId="179" fontId="22" fillId="0" borderId="6" xfId="21" applyNumberFormat="1" applyFont="1" applyBorder="1" applyAlignment="1">
      <alignment vertical="center" shrinkToFit="1"/>
    </xf>
    <xf numFmtId="0" fontId="22" fillId="0" borderId="3" xfId="21" applyNumberFormat="1" applyFont="1" applyBorder="1" applyAlignment="1">
      <alignment horizontal="distributed" vertical="center" shrinkToFit="1"/>
    </xf>
    <xf numFmtId="179" fontId="22" fillId="0" borderId="7" xfId="21" applyNumberFormat="1" applyFont="1" applyBorder="1" applyAlignment="1">
      <alignment vertical="center" shrinkToFit="1"/>
    </xf>
    <xf numFmtId="179" fontId="22" fillId="0" borderId="5" xfId="21" applyNumberFormat="1" applyFont="1" applyBorder="1" applyAlignment="1">
      <alignment vertical="center" shrinkToFit="1"/>
    </xf>
    <xf numFmtId="181" fontId="22" fillId="0" borderId="6" xfId="21" applyNumberFormat="1" applyFont="1" applyBorder="1" applyAlignment="1">
      <alignment horizontal="left" vertical="center" shrinkToFit="1"/>
    </xf>
    <xf numFmtId="181" fontId="22" fillId="0" borderId="5" xfId="21" applyNumberFormat="1" applyFont="1" applyBorder="1" applyAlignment="1">
      <alignment horizontal="left" vertical="center" shrinkToFit="1"/>
    </xf>
    <xf numFmtId="49" fontId="22" fillId="0" borderId="7" xfId="21" applyNumberFormat="1" applyFont="1" applyBorder="1" applyAlignment="1">
      <alignment horizontal="left" vertical="center" shrinkToFit="1"/>
    </xf>
    <xf numFmtId="49" fontId="24" fillId="0" borderId="7" xfId="21" applyNumberFormat="1" applyFont="1" applyBorder="1" applyAlignment="1">
      <alignment vertical="top" shrinkToFit="1"/>
    </xf>
    <xf numFmtId="49" fontId="22" fillId="0" borderId="6" xfId="21" applyNumberFormat="1" applyFont="1" applyBorder="1" applyAlignment="1">
      <alignment vertical="top" shrinkToFit="1"/>
    </xf>
    <xf numFmtId="177" fontId="42" fillId="0" borderId="5" xfId="22" applyNumberFormat="1" applyFont="1" applyFill="1" applyBorder="1" applyAlignment="1">
      <alignment horizontal="right" vertical="center"/>
    </xf>
    <xf numFmtId="0" fontId="8" fillId="0" borderId="7" xfId="21" applyNumberFormat="1" applyFont="1" applyBorder="1" applyAlignment="1">
      <alignment horizontal="distributed" vertical="top" wrapText="1" readingOrder="1"/>
    </xf>
    <xf numFmtId="177" fontId="6" fillId="3" borderId="3" xfId="21" applyFont="1" applyFill="1" applyBorder="1" applyAlignment="1">
      <alignment horizontal="center" vertical="center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5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readingOrder="1"/>
    </xf>
    <xf numFmtId="177" fontId="20" fillId="3" borderId="3" xfId="21" applyFont="1" applyFill="1" applyBorder="1" applyAlignment="1">
      <alignment horizontal="center" vertical="center"/>
    </xf>
    <xf numFmtId="0" fontId="22" fillId="0" borderId="7" xfId="21" applyNumberFormat="1" applyFont="1" applyBorder="1" applyAlignment="1">
      <alignment horizontal="distributed" vertical="top" shrinkToFit="1"/>
    </xf>
    <xf numFmtId="0" fontId="22" fillId="0" borderId="6" xfId="21" applyNumberFormat="1" applyFont="1" applyBorder="1" applyAlignment="1">
      <alignment horizontal="distributed" vertical="top" shrinkToFit="1"/>
    </xf>
    <xf numFmtId="49" fontId="22" fillId="0" borderId="6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50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49" fontId="8" fillId="0" borderId="6" xfId="21" applyNumberFormat="1" applyFont="1" applyBorder="1" applyAlignment="1">
      <alignment horizontal="distributed" vertical="top" readingOrder="1"/>
    </xf>
    <xf numFmtId="177" fontId="22" fillId="0" borderId="35" xfId="21" applyFont="1" applyFill="1" applyBorder="1" applyAlignment="1">
      <alignment horizontal="center" vertical="center"/>
    </xf>
    <xf numFmtId="177" fontId="22" fillId="0" borderId="36" xfId="21" applyNumberFormat="1" applyFont="1" applyBorder="1" applyAlignment="1">
      <alignment vertical="center" shrinkToFit="1"/>
    </xf>
    <xf numFmtId="177" fontId="22" fillId="0" borderId="35" xfId="21" applyNumberFormat="1" applyFont="1" applyBorder="1" applyAlignment="1">
      <alignment vertical="center" shrinkToFit="1"/>
    </xf>
    <xf numFmtId="177" fontId="22" fillId="0" borderId="8" xfId="21" applyNumberFormat="1" applyFont="1" applyBorder="1" applyAlignment="1">
      <alignment vertical="center" shrinkToFit="1"/>
    </xf>
    <xf numFmtId="177" fontId="22" fillId="0" borderId="35" xfId="21" applyNumberFormat="1" applyFont="1" applyBorder="1" applyAlignment="1">
      <alignment horizontal="left" vertical="center" shrinkToFit="1"/>
    </xf>
    <xf numFmtId="177" fontId="22" fillId="0" borderId="35" xfId="21" applyFont="1" applyFill="1" applyBorder="1" applyAlignment="1">
      <alignment horizontal="center" vertical="center" shrinkToFit="1"/>
    </xf>
    <xf numFmtId="177" fontId="22" fillId="0" borderId="36" xfId="21" applyFont="1" applyBorder="1" applyAlignment="1">
      <alignment vertical="center" shrinkToFit="1"/>
    </xf>
    <xf numFmtId="177" fontId="22" fillId="0" borderId="8" xfId="21" applyFont="1" applyBorder="1" applyAlignment="1">
      <alignment vertical="center" shrinkToFit="1"/>
    </xf>
    <xf numFmtId="177" fontId="22" fillId="0" borderId="8" xfId="21" applyFont="1" applyBorder="1" applyAlignment="1">
      <alignment horizontal="left" vertical="center" shrinkToFit="1"/>
    </xf>
    <xf numFmtId="177" fontId="22" fillId="0" borderId="35" xfId="21" applyFont="1" applyBorder="1" applyAlignment="1">
      <alignment vertical="center" shrinkToFit="1"/>
    </xf>
    <xf numFmtId="177" fontId="22" fillId="0" borderId="35" xfId="21" applyFont="1" applyBorder="1" applyAlignment="1" applyProtection="1">
      <alignment vertical="center" shrinkToFit="1"/>
      <protection locked="0"/>
    </xf>
    <xf numFmtId="177" fontId="22" fillId="0" borderId="36" xfId="21" applyFont="1" applyBorder="1" applyAlignment="1" applyProtection="1">
      <alignment vertical="center" shrinkToFit="1"/>
      <protection locked="0"/>
    </xf>
    <xf numFmtId="177" fontId="22" fillId="0" borderId="35" xfId="21" applyFont="1" applyBorder="1" applyAlignment="1" applyProtection="1">
      <alignment horizontal="left" vertical="center" shrinkToFit="1"/>
      <protection locked="0"/>
    </xf>
    <xf numFmtId="177" fontId="22" fillId="0" borderId="8" xfId="21" applyFont="1" applyBorder="1" applyAlignment="1" applyProtection="1">
      <alignment vertical="center" shrinkToFit="1"/>
      <protection locked="0"/>
    </xf>
    <xf numFmtId="177" fontId="22" fillId="0" borderId="35" xfId="21" applyFont="1" applyBorder="1" applyAlignment="1" applyProtection="1">
      <alignment vertical="center" shrinkToFit="1"/>
      <protection/>
    </xf>
    <xf numFmtId="177" fontId="22" fillId="0" borderId="36" xfId="21" applyFont="1" applyBorder="1" applyAlignment="1" applyProtection="1">
      <alignment vertical="center" shrinkToFit="1"/>
      <protection/>
    </xf>
    <xf numFmtId="177" fontId="22" fillId="0" borderId="35" xfId="21" applyFont="1" applyBorder="1" applyAlignment="1">
      <alignment horizontal="left" vertical="center" shrinkToFit="1"/>
    </xf>
    <xf numFmtId="177" fontId="22" fillId="0" borderId="37" xfId="21" applyFont="1" applyFill="1" applyBorder="1" applyAlignment="1">
      <alignment vertical="center" shrinkToFit="1"/>
    </xf>
    <xf numFmtId="177" fontId="22" fillId="0" borderId="35" xfId="21" applyFont="1" applyFill="1" applyBorder="1" applyAlignment="1">
      <alignment vertical="center" shrinkToFit="1"/>
    </xf>
    <xf numFmtId="177" fontId="22" fillId="3" borderId="37" xfId="21" applyFont="1" applyFill="1" applyBorder="1" applyAlignment="1">
      <alignment vertical="center" shrinkToFit="1"/>
    </xf>
    <xf numFmtId="177" fontId="22" fillId="0" borderId="8" xfId="21" applyFont="1" applyBorder="1" applyAlignment="1" applyProtection="1">
      <alignment vertical="center" shrinkToFit="1"/>
      <protection/>
    </xf>
    <xf numFmtId="177" fontId="22" fillId="0" borderId="37" xfId="21" applyFont="1" applyBorder="1" applyAlignment="1" applyProtection="1">
      <alignment horizontal="left" vertical="center" shrinkToFit="1"/>
      <protection/>
    </xf>
    <xf numFmtId="177" fontId="22" fillId="0" borderId="35" xfId="21" applyFont="1" applyBorder="1" applyAlignment="1" applyProtection="1">
      <alignment horizontal="left" vertical="center" shrinkToFit="1"/>
      <protection/>
    </xf>
    <xf numFmtId="0" fontId="50" fillId="0" borderId="24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177" fontId="22" fillId="0" borderId="36" xfId="21" applyFont="1" applyBorder="1" applyAlignment="1">
      <alignment horizontal="center" vertical="center" shrinkToFit="1"/>
    </xf>
    <xf numFmtId="177" fontId="22" fillId="2" borderId="36" xfId="21" applyFont="1" applyFill="1" applyBorder="1" applyAlignment="1">
      <alignment vertical="center" shrinkToFit="1"/>
    </xf>
    <xf numFmtId="177" fontId="22" fillId="2" borderId="8" xfId="21" applyFont="1" applyFill="1" applyBorder="1" applyAlignment="1">
      <alignment vertical="center" shrinkToFit="1"/>
    </xf>
    <xf numFmtId="179" fontId="22" fillId="0" borderId="36" xfId="21" applyNumberFormat="1" applyFont="1" applyBorder="1" applyAlignment="1">
      <alignment horizontal="left" vertical="center" shrinkToFit="1"/>
    </xf>
    <xf numFmtId="179" fontId="22" fillId="0" borderId="35" xfId="21" applyNumberFormat="1" applyFont="1" applyBorder="1" applyAlignment="1">
      <alignment horizontal="left" vertical="center" shrinkToFit="1"/>
    </xf>
    <xf numFmtId="177" fontId="22" fillId="0" borderId="36" xfId="21" applyFont="1" applyBorder="1" applyAlignment="1">
      <alignment horizontal="left" vertical="center" shrinkToFit="1"/>
    </xf>
    <xf numFmtId="177" fontId="22" fillId="0" borderId="8" xfId="21" applyFont="1" applyBorder="1" applyAlignment="1">
      <alignment shrinkToFit="1"/>
    </xf>
    <xf numFmtId="180" fontId="22" fillId="0" borderId="36" xfId="21" applyNumberFormat="1" applyFont="1" applyFill="1" applyBorder="1" applyAlignment="1">
      <alignment horizontal="left" vertical="center" shrinkToFit="1"/>
    </xf>
    <xf numFmtId="182" fontId="22" fillId="0" borderId="36" xfId="21" applyNumberFormat="1" applyFont="1" applyFill="1" applyBorder="1" applyAlignment="1">
      <alignment horizontal="left" vertical="center" shrinkToFit="1"/>
    </xf>
    <xf numFmtId="182" fontId="22" fillId="0" borderId="35" xfId="21" applyNumberFormat="1" applyFont="1" applyFill="1" applyBorder="1" applyAlignment="1">
      <alignment horizontal="left" vertical="center" shrinkToFit="1"/>
    </xf>
    <xf numFmtId="179" fontId="22" fillId="0" borderId="36" xfId="21" applyNumberFormat="1" applyFont="1" applyBorder="1" applyAlignment="1">
      <alignment vertical="center" shrinkToFit="1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readingOrder="1"/>
    </xf>
    <xf numFmtId="49" fontId="8" fillId="0" borderId="6" xfId="21" applyNumberFormat="1" applyFont="1" applyBorder="1" applyAlignment="1">
      <alignment horizontal="distributed" vertical="top" readingOrder="1"/>
    </xf>
    <xf numFmtId="0" fontId="50" fillId="0" borderId="2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7" fontId="50" fillId="0" borderId="21" xfId="21" applyFont="1" applyBorder="1" applyAlignment="1">
      <alignment horizontal="center" vertical="center"/>
    </xf>
    <xf numFmtId="177" fontId="50" fillId="0" borderId="24" xfId="21" applyFont="1" applyBorder="1" applyAlignment="1">
      <alignment horizontal="center" vertical="center"/>
    </xf>
    <xf numFmtId="177" fontId="50" fillId="0" borderId="33" xfId="21" applyFont="1" applyBorder="1" applyAlignment="1">
      <alignment horizontal="center" vertical="center"/>
    </xf>
    <xf numFmtId="177" fontId="50" fillId="0" borderId="23" xfId="21" applyFont="1" applyBorder="1" applyAlignment="1">
      <alignment horizontal="center" vertical="center"/>
    </xf>
    <xf numFmtId="177" fontId="0" fillId="0" borderId="33" xfId="21" applyFont="1" applyBorder="1" applyAlignment="1">
      <alignment horizontal="center" vertical="center"/>
    </xf>
    <xf numFmtId="0" fontId="8" fillId="0" borderId="7" xfId="21" applyNumberFormat="1" applyFont="1" applyBorder="1" applyAlignment="1">
      <alignment horizontal="left" vertical="top" wrapText="1"/>
    </xf>
    <xf numFmtId="0" fontId="50" fillId="0" borderId="24" xfId="0" applyFont="1" applyBorder="1" applyAlignment="1">
      <alignment vertical="center"/>
    </xf>
    <xf numFmtId="0" fontId="50" fillId="16" borderId="21" xfId="0" applyFont="1" applyFill="1" applyBorder="1" applyAlignment="1">
      <alignment horizontal="center" vertical="center"/>
    </xf>
    <xf numFmtId="177" fontId="50" fillId="16" borderId="21" xfId="21" applyFont="1" applyFill="1" applyBorder="1" applyAlignment="1">
      <alignment horizontal="center" vertical="center"/>
    </xf>
    <xf numFmtId="0" fontId="50" fillId="16" borderId="24" xfId="0" applyFont="1" applyFill="1" applyBorder="1" applyAlignment="1">
      <alignment horizontal="center" vertical="center"/>
    </xf>
    <xf numFmtId="177" fontId="50" fillId="16" borderId="24" xfId="21" applyFont="1" applyFill="1" applyBorder="1" applyAlignment="1">
      <alignment horizontal="center" vertical="center"/>
    </xf>
    <xf numFmtId="177" fontId="50" fillId="0" borderId="24" xfId="21" applyFont="1" applyBorder="1" applyAlignment="1">
      <alignment horizontal="left" vertical="center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readingOrder="1"/>
    </xf>
    <xf numFmtId="49" fontId="22" fillId="0" borderId="6" xfId="21" applyNumberFormat="1" applyFont="1" applyBorder="1" applyAlignment="1">
      <alignment horizontal="distributed" vertical="top" shrinkToFit="1"/>
    </xf>
    <xf numFmtId="0" fontId="22" fillId="0" borderId="7" xfId="21" applyNumberFormat="1" applyFont="1" applyBorder="1" applyAlignment="1">
      <alignment horizontal="distributed" vertical="top" shrinkToFit="1"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50" fillId="0" borderId="2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177" fontId="8" fillId="0" borderId="39" xfId="2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2" fillId="0" borderId="7" xfId="21" applyNumberFormat="1" applyFont="1" applyBorder="1" applyAlignment="1">
      <alignment horizontal="distributed" vertical="top" shrinkToFit="1"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3" xfId="21" applyNumberFormat="1" applyFont="1" applyBorder="1" applyAlignment="1">
      <alignment horizontal="distributed" vertical="top" shrinkToFit="1"/>
    </xf>
    <xf numFmtId="49" fontId="22" fillId="0" borderId="7" xfId="21" applyNumberFormat="1" applyFont="1" applyBorder="1" applyAlignment="1">
      <alignment horizontal="distributed" vertical="top" wrapText="1" shrinkToFit="1"/>
    </xf>
    <xf numFmtId="0" fontId="24" fillId="0" borderId="7" xfId="21" applyNumberFormat="1" applyFont="1" applyBorder="1" applyAlignment="1">
      <alignment horizontal="distributed" vertical="top" readingOrder="1"/>
    </xf>
    <xf numFmtId="41" fontId="49" fillId="3" borderId="15" xfId="0" applyNumberFormat="1" applyFont="1" applyFill="1" applyBorder="1" applyAlignment="1">
      <alignment horizontal="center" vertical="center" shrinkToFit="1"/>
    </xf>
    <xf numFmtId="177" fontId="50" fillId="0" borderId="24" xfId="21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7" fontId="53" fillId="0" borderId="33" xfId="21" applyNumberFormat="1" applyFont="1" applyBorder="1" applyAlignment="1">
      <alignment horizontal="center" vertical="center"/>
    </xf>
    <xf numFmtId="177" fontId="4" fillId="0" borderId="7" xfId="21" applyFont="1" applyBorder="1" applyAlignment="1">
      <alignment vertical="center"/>
    </xf>
    <xf numFmtId="177" fontId="6" fillId="3" borderId="6" xfId="21" applyFont="1" applyFill="1" applyBorder="1" applyAlignment="1">
      <alignment vertical="center"/>
    </xf>
    <xf numFmtId="177" fontId="4" fillId="0" borderId="6" xfId="21" applyFont="1" applyBorder="1" applyAlignment="1">
      <alignment vertical="center"/>
    </xf>
    <xf numFmtId="177" fontId="4" fillId="0" borderId="5" xfId="21" applyFont="1" applyBorder="1" applyAlignment="1">
      <alignment vertical="center"/>
    </xf>
    <xf numFmtId="177" fontId="22" fillId="0" borderId="5" xfId="21" applyFont="1" applyBorder="1" applyAlignment="1">
      <alignment horizontal="center" vertical="center" shrinkToFit="1"/>
    </xf>
    <xf numFmtId="0" fontId="22" fillId="0" borderId="7" xfId="21" applyNumberFormat="1" applyFont="1" applyBorder="1" applyAlignment="1">
      <alignment vertical="top" wrapText="1" shrinkToFit="1"/>
    </xf>
    <xf numFmtId="0" fontId="22" fillId="0" borderId="6" xfId="21" applyNumberFormat="1" applyFont="1" applyBorder="1" applyAlignment="1">
      <alignment vertical="top" wrapText="1" shrinkToFit="1"/>
    </xf>
    <xf numFmtId="177" fontId="0" fillId="0" borderId="0" xfId="21" applyFont="1" applyAlignment="1">
      <alignment horizontal="center" vertical="center"/>
    </xf>
    <xf numFmtId="177" fontId="50" fillId="11" borderId="29" xfId="21" applyFont="1" applyFill="1" applyBorder="1" applyAlignment="1">
      <alignment horizontal="center" vertical="center"/>
    </xf>
    <xf numFmtId="177" fontId="39" fillId="0" borderId="33" xfId="21" applyFont="1" applyBorder="1" applyAlignment="1">
      <alignment horizontal="center" vertical="center"/>
    </xf>
    <xf numFmtId="177" fontId="0" fillId="0" borderId="0" xfId="21" applyFont="1" applyAlignment="1">
      <alignment vertical="center"/>
    </xf>
    <xf numFmtId="0" fontId="8" fillId="0" borderId="5" xfId="21" applyNumberFormat="1" applyFont="1" applyBorder="1" applyAlignment="1">
      <alignment horizontal="distributed" vertical="top" wrapText="1"/>
    </xf>
    <xf numFmtId="0" fontId="22" fillId="0" borderId="3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48" fillId="0" borderId="0" xfId="0" applyFont="1" applyAlignment="1">
      <alignment horizontal="right" vertical="center"/>
    </xf>
    <xf numFmtId="0" fontId="22" fillId="0" borderId="7" xfId="21" applyNumberFormat="1" applyFont="1" applyBorder="1" applyAlignment="1">
      <alignment horizontal="distributed" vertical="top" wrapText="1" shrinkToFit="1"/>
    </xf>
    <xf numFmtId="0" fontId="8" fillId="0" borderId="5" xfId="0" applyFont="1" applyBorder="1" applyAlignment="1">
      <alignment vertical="center" shrinkToFit="1"/>
    </xf>
    <xf numFmtId="177" fontId="22" fillId="0" borderId="3" xfId="21" applyFont="1" applyBorder="1" applyAlignment="1" applyProtection="1">
      <alignment vertical="center" shrinkToFit="1"/>
      <protection locked="0"/>
    </xf>
    <xf numFmtId="177" fontId="22" fillId="0" borderId="3" xfId="21" applyNumberFormat="1" applyFont="1" applyBorder="1" applyAlignment="1">
      <alignment vertical="center" shrinkToFit="1"/>
    </xf>
    <xf numFmtId="0" fontId="22" fillId="0" borderId="3" xfId="21" applyNumberFormat="1" applyFont="1" applyBorder="1" applyAlignment="1">
      <alignment vertical="top" shrinkToFit="1"/>
    </xf>
    <xf numFmtId="177" fontId="22" fillId="0" borderId="37" xfId="21" applyFont="1" applyBorder="1" applyAlignment="1" applyProtection="1">
      <alignment vertical="center" shrinkToFit="1"/>
      <protection/>
    </xf>
    <xf numFmtId="179" fontId="22" fillId="0" borderId="3" xfId="21" applyNumberFormat="1" applyFont="1" applyBorder="1" applyAlignment="1">
      <alignment vertical="center" shrinkToFit="1"/>
    </xf>
    <xf numFmtId="49" fontId="8" fillId="0" borderId="3" xfId="21" applyNumberFormat="1" applyFont="1" applyBorder="1" applyAlignment="1">
      <alignment vertical="center"/>
    </xf>
    <xf numFmtId="0" fontId="22" fillId="0" borderId="7" xfId="21" applyNumberFormat="1" applyFont="1" applyBorder="1" applyAlignment="1">
      <alignment horizontal="distributed" vertical="top" shrinkToFit="1"/>
    </xf>
    <xf numFmtId="0" fontId="8" fillId="0" borderId="5" xfId="21" applyNumberFormat="1" applyFont="1" applyBorder="1" applyAlignment="1">
      <alignment horizontal="distributed" vertical="top"/>
    </xf>
    <xf numFmtId="0" fontId="8" fillId="0" borderId="5" xfId="21" applyNumberFormat="1" applyFont="1" applyBorder="1" applyAlignment="1">
      <alignment horizontal="distributed" vertical="center" wrapText="1"/>
    </xf>
    <xf numFmtId="177" fontId="22" fillId="0" borderId="3" xfId="21" applyFont="1" applyBorder="1" applyAlignment="1" applyProtection="1">
      <alignment vertical="center" shrinkToFit="1"/>
      <protection/>
    </xf>
    <xf numFmtId="0" fontId="8" fillId="0" borderId="6" xfId="21" applyNumberFormat="1" applyFont="1" applyBorder="1" applyAlignment="1">
      <alignment horizontal="distributed" vertical="top" wrapText="1"/>
    </xf>
    <xf numFmtId="49" fontId="8" fillId="3" borderId="3" xfId="21" applyNumberFormat="1" applyFont="1" applyFill="1" applyBorder="1" applyAlignment="1">
      <alignment vertical="center"/>
    </xf>
    <xf numFmtId="177" fontId="49" fillId="0" borderId="24" xfId="21" applyFont="1" applyBorder="1" applyAlignment="1">
      <alignment vertical="center"/>
    </xf>
    <xf numFmtId="0" fontId="8" fillId="0" borderId="7" xfId="21" applyNumberFormat="1" applyFont="1" applyBorder="1" applyAlignment="1">
      <alignment horizontal="distributed" vertical="top" wrapText="1" readingOrder="1"/>
    </xf>
    <xf numFmtId="177" fontId="6" fillId="3" borderId="3" xfId="21" applyFont="1" applyFill="1" applyBorder="1" applyAlignment="1">
      <alignment horizontal="center" vertical="center"/>
    </xf>
    <xf numFmtId="0" fontId="8" fillId="0" borderId="3" xfId="21" applyNumberFormat="1" applyFont="1" applyBorder="1" applyAlignment="1">
      <alignment horizontal="distributed" vertical="top" readingOrder="1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3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/>
    </xf>
    <xf numFmtId="177" fontId="20" fillId="3" borderId="3" xfId="21" applyFont="1" applyFill="1" applyBorder="1" applyAlignment="1">
      <alignment horizontal="center" vertical="center"/>
    </xf>
    <xf numFmtId="177" fontId="8" fillId="0" borderId="6" xfId="21" applyFont="1" applyBorder="1" applyAlignment="1">
      <alignment horizontal="center" vertical="center"/>
    </xf>
    <xf numFmtId="177" fontId="22" fillId="0" borderId="7" xfId="21" applyFont="1" applyBorder="1" applyAlignment="1">
      <alignment vertical="center" wrapText="1"/>
    </xf>
    <xf numFmtId="0" fontId="24" fillId="0" borderId="3" xfId="21" applyNumberFormat="1" applyFont="1" applyBorder="1" applyAlignment="1">
      <alignment horizontal="distributed" vertical="center" wrapText="1" readingOrder="1"/>
    </xf>
    <xf numFmtId="177" fontId="8" fillId="0" borderId="3" xfId="21" applyFont="1" applyBorder="1" applyAlignment="1">
      <alignment vertical="center" shrinkToFit="1"/>
    </xf>
    <xf numFmtId="0" fontId="32" fillId="3" borderId="40" xfId="0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77" fontId="32" fillId="0" borderId="23" xfId="21" applyNumberFormat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7" fontId="32" fillId="0" borderId="21" xfId="21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177" fontId="32" fillId="16" borderId="21" xfId="21" applyNumberFormat="1" applyFont="1" applyFill="1" applyBorder="1" applyAlignment="1">
      <alignment horizontal="center" vertical="center"/>
    </xf>
    <xf numFmtId="177" fontId="32" fillId="16" borderId="24" xfId="21" applyNumberFormat="1" applyFont="1" applyFill="1" applyBorder="1" applyAlignment="1">
      <alignment horizontal="center" vertical="center"/>
    </xf>
    <xf numFmtId="177" fontId="32" fillId="0" borderId="24" xfId="21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7" fontId="29" fillId="0" borderId="27" xfId="21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89" fontId="49" fillId="3" borderId="47" xfId="0" applyNumberFormat="1" applyFont="1" applyFill="1" applyBorder="1" applyAlignment="1">
      <alignment horizontal="right" vertical="center" shrinkToFit="1"/>
    </xf>
    <xf numFmtId="189" fontId="49" fillId="6" borderId="47" xfId="0" applyNumberFormat="1" applyFont="1" applyFill="1" applyBorder="1" applyAlignment="1">
      <alignment vertical="center" shrinkToFit="1"/>
    </xf>
    <xf numFmtId="189" fontId="49" fillId="3" borderId="47" xfId="0" applyNumberFormat="1" applyFont="1" applyFill="1" applyBorder="1" applyAlignment="1">
      <alignment vertical="center" shrinkToFit="1"/>
    </xf>
    <xf numFmtId="177" fontId="6" fillId="3" borderId="5" xfId="21" applyFont="1" applyFill="1" applyBorder="1" applyAlignment="1">
      <alignment horizontal="center" wrapText="1"/>
    </xf>
    <xf numFmtId="177" fontId="6" fillId="3" borderId="6" xfId="21" applyFont="1" applyFill="1" applyBorder="1" applyAlignment="1">
      <alignment horizontal="center" vertical="top" wrapText="1"/>
    </xf>
    <xf numFmtId="177" fontId="6" fillId="3" borderId="5" xfId="21" applyFont="1" applyFill="1" applyBorder="1" applyAlignment="1">
      <alignment horizontal="center" wrapText="1"/>
    </xf>
    <xf numFmtId="177" fontId="6" fillId="3" borderId="6" xfId="21" applyFont="1" applyFill="1" applyBorder="1" applyAlignment="1">
      <alignment horizontal="center" vertical="top" wrapText="1"/>
    </xf>
    <xf numFmtId="177" fontId="6" fillId="3" borderId="5" xfId="21" applyFont="1" applyFill="1" applyBorder="1" applyAlignment="1">
      <alignment horizontal="center" wrapText="1"/>
    </xf>
    <xf numFmtId="177" fontId="6" fillId="3" borderId="6" xfId="21" applyFont="1" applyFill="1" applyBorder="1" applyAlignment="1">
      <alignment horizontal="center" vertical="top" wrapText="1"/>
    </xf>
    <xf numFmtId="177" fontId="6" fillId="3" borderId="5" xfId="21" applyFont="1" applyFill="1" applyBorder="1" applyAlignment="1">
      <alignment horizontal="center" wrapText="1"/>
    </xf>
    <xf numFmtId="177" fontId="22" fillId="0" borderId="6" xfId="21" applyFont="1" applyBorder="1" applyAlignment="1">
      <alignment vertical="center" shrinkToFit="1"/>
    </xf>
    <xf numFmtId="177" fontId="22" fillId="0" borderId="5" xfId="21" applyFont="1" applyBorder="1" applyAlignment="1">
      <alignment horizontal="left" vertical="center" shrinkToFit="1"/>
    </xf>
    <xf numFmtId="177" fontId="22" fillId="0" borderId="5" xfId="21" applyFont="1" applyFill="1" applyBorder="1" applyAlignment="1">
      <alignment horizontal="center" vertical="center"/>
    </xf>
    <xf numFmtId="177" fontId="22" fillId="0" borderId="0" xfId="21" applyFont="1" applyAlignment="1">
      <alignment vertical="center"/>
    </xf>
    <xf numFmtId="177" fontId="22" fillId="0" borderId="5" xfId="21" applyFont="1" applyBorder="1" applyAlignment="1">
      <alignment vertical="center" shrinkToFit="1"/>
    </xf>
    <xf numFmtId="177" fontId="22" fillId="0" borderId="6" xfId="21" applyNumberFormat="1" applyFont="1" applyBorder="1" applyAlignment="1">
      <alignment vertical="center" shrinkToFit="1"/>
    </xf>
    <xf numFmtId="177" fontId="22" fillId="0" borderId="5" xfId="21" applyNumberFormat="1" applyFont="1" applyBorder="1" applyAlignment="1">
      <alignment vertical="center" shrinkToFit="1"/>
    </xf>
    <xf numFmtId="177" fontId="22" fillId="0" borderId="7" xfId="21" applyFont="1" applyBorder="1" applyAlignment="1">
      <alignment vertical="center" shrinkToFit="1"/>
    </xf>
    <xf numFmtId="177" fontId="22" fillId="0" borderId="5" xfId="21" applyFont="1" applyBorder="1" applyAlignment="1" applyProtection="1">
      <alignment vertical="center" shrinkToFit="1"/>
      <protection locked="0"/>
    </xf>
    <xf numFmtId="177" fontId="22" fillId="0" borderId="6" xfId="21" applyFont="1" applyBorder="1" applyAlignment="1" applyProtection="1">
      <alignment vertical="center" shrinkToFit="1"/>
      <protection locked="0"/>
    </xf>
    <xf numFmtId="177" fontId="22" fillId="0" borderId="5" xfId="21" applyFont="1" applyBorder="1" applyAlignment="1" applyProtection="1">
      <alignment horizontal="left" vertical="center" shrinkToFit="1"/>
      <protection locked="0"/>
    </xf>
    <xf numFmtId="177" fontId="22" fillId="0" borderId="3" xfId="21" applyFont="1" applyBorder="1" applyAlignment="1">
      <alignment vertical="center" shrinkToFit="1"/>
    </xf>
    <xf numFmtId="177" fontId="22" fillId="0" borderId="6" xfId="21" applyFont="1" applyBorder="1" applyAlignment="1" applyProtection="1">
      <alignment vertical="center" shrinkToFit="1"/>
      <protection/>
    </xf>
    <xf numFmtId="177" fontId="22" fillId="0" borderId="5" xfId="21" applyFont="1" applyBorder="1" applyAlignment="1" applyProtection="1">
      <alignment vertical="center" shrinkToFit="1"/>
      <protection/>
    </xf>
    <xf numFmtId="177" fontId="22" fillId="0" borderId="5" xfId="21" applyFont="1" applyFill="1" applyBorder="1" applyAlignment="1">
      <alignment vertical="center" shrinkToFit="1"/>
    </xf>
    <xf numFmtId="177" fontId="22" fillId="0" borderId="3" xfId="21" applyFont="1" applyFill="1" applyBorder="1" applyAlignment="1">
      <alignment vertical="center" shrinkToFit="1"/>
    </xf>
    <xf numFmtId="177" fontId="22" fillId="0" borderId="5" xfId="21" applyFont="1" applyFill="1" applyBorder="1" applyAlignment="1">
      <alignment horizontal="center" vertical="center" shrinkToFit="1"/>
    </xf>
    <xf numFmtId="0" fontId="22" fillId="0" borderId="5" xfId="21" applyNumberFormat="1" applyFont="1" applyBorder="1" applyAlignment="1">
      <alignment horizontal="left" vertical="top" shrinkToFit="1"/>
    </xf>
    <xf numFmtId="0" fontId="22" fillId="0" borderId="7" xfId="21" applyNumberFormat="1" applyFont="1" applyBorder="1" applyAlignment="1">
      <alignment vertical="top" shrinkToFit="1"/>
    </xf>
    <xf numFmtId="0" fontId="22" fillId="0" borderId="6" xfId="21" applyNumberFormat="1" applyFont="1" applyBorder="1" applyAlignment="1">
      <alignment horizontal="distributed" vertical="center" shrinkToFit="1"/>
    </xf>
    <xf numFmtId="0" fontId="22" fillId="0" borderId="7" xfId="21" applyNumberFormat="1" applyFont="1" applyBorder="1" applyAlignment="1">
      <alignment horizontal="left" vertical="center" shrinkToFit="1"/>
    </xf>
    <xf numFmtId="0" fontId="22" fillId="0" borderId="5" xfId="21" applyNumberFormat="1" applyFont="1" applyBorder="1" applyAlignment="1">
      <alignment horizontal="left" vertical="center" shrinkToFit="1"/>
    </xf>
    <xf numFmtId="0" fontId="22" fillId="0" borderId="5" xfId="21" applyNumberFormat="1" applyFont="1" applyBorder="1" applyAlignment="1">
      <alignment horizontal="distributed" vertical="center" shrinkToFit="1"/>
    </xf>
    <xf numFmtId="0" fontId="22" fillId="0" borderId="7" xfId="21" applyNumberFormat="1" applyFont="1" applyBorder="1" applyAlignment="1">
      <alignment horizontal="distributed" vertical="center" shrinkToFit="1"/>
    </xf>
    <xf numFmtId="177" fontId="22" fillId="0" borderId="0" xfId="21" applyFont="1" applyAlignment="1">
      <alignment shrinkToFit="1"/>
    </xf>
    <xf numFmtId="177" fontId="22" fillId="0" borderId="7" xfId="21" applyFont="1" applyBorder="1" applyAlignment="1" applyProtection="1">
      <alignment vertical="center" shrinkToFit="1"/>
      <protection/>
    </xf>
    <xf numFmtId="177" fontId="22" fillId="0" borderId="3" xfId="21" applyFont="1" applyBorder="1" applyAlignment="1">
      <alignment horizontal="left" vertical="center" shrinkToFit="1"/>
    </xf>
    <xf numFmtId="177" fontId="22" fillId="0" borderId="7" xfId="21" applyFont="1" applyBorder="1" applyAlignment="1">
      <alignment horizontal="left" vertical="center" shrinkToFit="1"/>
    </xf>
    <xf numFmtId="0" fontId="22" fillId="0" borderId="5" xfId="21" applyNumberFormat="1" applyFont="1" applyBorder="1" applyAlignment="1">
      <alignment vertical="top" shrinkToFit="1"/>
    </xf>
    <xf numFmtId="177" fontId="22" fillId="0" borderId="5" xfId="21" applyFont="1" applyBorder="1" applyAlignment="1" applyProtection="1">
      <alignment horizontal="left" vertical="center" shrinkToFit="1"/>
      <protection/>
    </xf>
    <xf numFmtId="179" fontId="22" fillId="0" borderId="7" xfId="21" applyNumberFormat="1" applyFont="1" applyBorder="1" applyAlignment="1">
      <alignment vertical="center" shrinkToFit="1"/>
    </xf>
    <xf numFmtId="179" fontId="22" fillId="0" borderId="5" xfId="21" applyNumberFormat="1" applyFont="1" applyBorder="1" applyAlignment="1">
      <alignment vertical="center" shrinkToFit="1"/>
    </xf>
    <xf numFmtId="177" fontId="22" fillId="0" borderId="35" xfId="21" applyFont="1" applyFill="1" applyBorder="1" applyAlignment="1">
      <alignment horizontal="center" vertical="center" shrinkToFit="1"/>
    </xf>
    <xf numFmtId="177" fontId="22" fillId="0" borderId="36" xfId="21" applyFont="1" applyBorder="1" applyAlignment="1">
      <alignment vertical="center" shrinkToFit="1"/>
    </xf>
    <xf numFmtId="177" fontId="22" fillId="0" borderId="8" xfId="21" applyFont="1" applyBorder="1" applyAlignment="1">
      <alignment vertical="center" shrinkToFit="1"/>
    </xf>
    <xf numFmtId="177" fontId="22" fillId="0" borderId="8" xfId="21" applyFont="1" applyBorder="1" applyAlignment="1">
      <alignment horizontal="left" vertical="center" shrinkToFit="1"/>
    </xf>
    <xf numFmtId="177" fontId="22" fillId="0" borderId="35" xfId="21" applyFont="1" applyBorder="1" applyAlignment="1">
      <alignment vertical="center" shrinkToFit="1"/>
    </xf>
    <xf numFmtId="177" fontId="22" fillId="0" borderId="35" xfId="21" applyFont="1" applyBorder="1" applyAlignment="1" applyProtection="1">
      <alignment vertical="center" shrinkToFit="1"/>
      <protection locked="0"/>
    </xf>
    <xf numFmtId="177" fontId="22" fillId="0" borderId="36" xfId="21" applyFont="1" applyBorder="1" applyAlignment="1" applyProtection="1">
      <alignment vertical="center" shrinkToFit="1"/>
      <protection locked="0"/>
    </xf>
    <xf numFmtId="177" fontId="22" fillId="0" borderId="35" xfId="21" applyFont="1" applyBorder="1" applyAlignment="1" applyProtection="1">
      <alignment horizontal="left" vertical="center" shrinkToFit="1"/>
      <protection locked="0"/>
    </xf>
    <xf numFmtId="177" fontId="22" fillId="0" borderId="35" xfId="21" applyFont="1" applyBorder="1" applyAlignment="1" applyProtection="1">
      <alignment vertical="center" shrinkToFit="1"/>
      <protection/>
    </xf>
    <xf numFmtId="177" fontId="22" fillId="0" borderId="36" xfId="21" applyFont="1" applyBorder="1" applyAlignment="1" applyProtection="1">
      <alignment vertical="center" shrinkToFit="1"/>
      <protection/>
    </xf>
    <xf numFmtId="177" fontId="22" fillId="0" borderId="35" xfId="21" applyFont="1" applyBorder="1" applyAlignment="1">
      <alignment horizontal="left" vertical="center" shrinkToFit="1"/>
    </xf>
    <xf numFmtId="177" fontId="22" fillId="0" borderId="37" xfId="21" applyFont="1" applyFill="1" applyBorder="1" applyAlignment="1">
      <alignment vertical="center" shrinkToFit="1"/>
    </xf>
    <xf numFmtId="177" fontId="22" fillId="0" borderId="35" xfId="21" applyFont="1" applyFill="1" applyBorder="1" applyAlignment="1">
      <alignment vertical="center" shrinkToFit="1"/>
    </xf>
    <xf numFmtId="177" fontId="22" fillId="0" borderId="8" xfId="21" applyFont="1" applyBorder="1" applyAlignment="1" applyProtection="1">
      <alignment vertical="center" shrinkToFit="1"/>
      <protection/>
    </xf>
    <xf numFmtId="177" fontId="22" fillId="0" borderId="37" xfId="21" applyFont="1" applyBorder="1" applyAlignment="1">
      <alignment horizontal="left" vertical="center" shrinkToFit="1"/>
    </xf>
    <xf numFmtId="177" fontId="22" fillId="0" borderId="35" xfId="21" applyFont="1" applyBorder="1" applyAlignment="1" applyProtection="1">
      <alignment horizontal="left" vertical="center" shrinkToFit="1"/>
      <protection/>
    </xf>
    <xf numFmtId="0" fontId="22" fillId="0" borderId="7" xfId="21" applyNumberFormat="1" applyFont="1" applyBorder="1" applyAlignment="1">
      <alignment horizontal="distributed" vertical="top" shrinkToFit="1"/>
    </xf>
    <xf numFmtId="177" fontId="22" fillId="0" borderId="37" xfId="21" applyFont="1" applyBorder="1" applyAlignment="1">
      <alignment vertical="center" shrinkToFit="1"/>
    </xf>
    <xf numFmtId="177" fontId="6" fillId="3" borderId="6" xfId="21" applyFont="1" applyFill="1" applyBorder="1" applyAlignment="1">
      <alignment horizontal="center" vertical="top" wrapText="1"/>
    </xf>
    <xf numFmtId="189" fontId="49" fillId="5" borderId="48" xfId="0" applyNumberFormat="1" applyFont="1" applyFill="1" applyBorder="1" applyAlignment="1">
      <alignment vertical="center" shrinkToFit="1"/>
    </xf>
    <xf numFmtId="189" fontId="49" fillId="3" borderId="49" xfId="0" applyNumberFormat="1" applyFont="1" applyFill="1" applyBorder="1" applyAlignment="1">
      <alignment horizontal="right" vertical="center" shrinkToFit="1"/>
    </xf>
    <xf numFmtId="189" fontId="49" fillId="3" borderId="50" xfId="0" applyNumberFormat="1" applyFont="1" applyFill="1" applyBorder="1" applyAlignment="1">
      <alignment vertical="center"/>
    </xf>
    <xf numFmtId="189" fontId="49" fillId="3" borderId="51" xfId="0" applyNumberFormat="1" applyFont="1" applyFill="1" applyBorder="1" applyAlignment="1">
      <alignment vertical="center"/>
    </xf>
    <xf numFmtId="189" fontId="49" fillId="6" borderId="51" xfId="0" applyNumberFormat="1" applyFont="1" applyFill="1" applyBorder="1" applyAlignment="1">
      <alignment vertical="center"/>
    </xf>
    <xf numFmtId="189" fontId="49" fillId="5" borderId="52" xfId="0" applyNumberFormat="1" applyFont="1" applyFill="1" applyBorder="1" applyAlignment="1">
      <alignment vertical="center"/>
    </xf>
    <xf numFmtId="189" fontId="49" fillId="7" borderId="53" xfId="0" applyNumberFormat="1" applyFont="1" applyFill="1" applyBorder="1" applyAlignment="1">
      <alignment vertical="center"/>
    </xf>
    <xf numFmtId="189" fontId="49" fillId="8" borderId="44" xfId="0" applyNumberFormat="1" applyFont="1" applyFill="1" applyBorder="1" applyAlignment="1">
      <alignment vertical="center"/>
    </xf>
    <xf numFmtId="189" fontId="49" fillId="0" borderId="44" xfId="0" applyNumberFormat="1" applyFont="1" applyBorder="1" applyAlignment="1">
      <alignment vertical="center"/>
    </xf>
    <xf numFmtId="189" fontId="49" fillId="0" borderId="45" xfId="0" applyNumberFormat="1" applyFont="1" applyBorder="1" applyAlignment="1">
      <alignment vertical="center"/>
    </xf>
    <xf numFmtId="189" fontId="49" fillId="7" borderId="44" xfId="0" applyNumberFormat="1" applyFont="1" applyFill="1" applyBorder="1" applyAlignment="1">
      <alignment vertical="center"/>
    </xf>
    <xf numFmtId="189" fontId="49" fillId="0" borderId="54" xfId="0" applyNumberFormat="1" applyFont="1" applyBorder="1" applyAlignment="1">
      <alignment vertical="center"/>
    </xf>
    <xf numFmtId="189" fontId="49" fillId="0" borderId="45" xfId="0" applyNumberFormat="1" applyFont="1" applyFill="1" applyBorder="1" applyAlignment="1">
      <alignment vertical="center"/>
    </xf>
    <xf numFmtId="189" fontId="49" fillId="6" borderId="44" xfId="0" applyNumberFormat="1" applyFont="1" applyFill="1" applyBorder="1" applyAlignment="1">
      <alignment vertical="center"/>
    </xf>
    <xf numFmtId="189" fontId="49" fillId="6" borderId="46" xfId="0" applyNumberFormat="1" applyFont="1" applyFill="1" applyBorder="1" applyAlignment="1">
      <alignment vertical="center"/>
    </xf>
    <xf numFmtId="189" fontId="49" fillId="7" borderId="55" xfId="0" applyNumberFormat="1" applyFont="1" applyFill="1" applyBorder="1" applyAlignment="1">
      <alignment vertical="center"/>
    </xf>
    <xf numFmtId="189" fontId="49" fillId="8" borderId="32" xfId="0" applyNumberFormat="1" applyFont="1" applyFill="1" applyBorder="1" applyAlignment="1">
      <alignment vertical="center"/>
    </xf>
    <xf numFmtId="189" fontId="49" fillId="0" borderId="32" xfId="0" applyNumberFormat="1" applyFont="1" applyFill="1" applyBorder="1" applyAlignment="1">
      <alignment vertical="center"/>
    </xf>
    <xf numFmtId="189" fontId="49" fillId="8" borderId="31" xfId="0" applyNumberFormat="1" applyFont="1" applyFill="1" applyBorder="1" applyAlignment="1">
      <alignment vertical="center"/>
    </xf>
    <xf numFmtId="189" fontId="49" fillId="0" borderId="8" xfId="0" applyNumberFormat="1" applyFont="1" applyBorder="1" applyAlignment="1">
      <alignment vertical="center"/>
    </xf>
    <xf numFmtId="189" fontId="49" fillId="7" borderId="32" xfId="0" applyNumberFormat="1" applyFont="1" applyFill="1" applyBorder="1" applyAlignment="1">
      <alignment vertical="center"/>
    </xf>
    <xf numFmtId="189" fontId="49" fillId="0" borderId="32" xfId="0" applyNumberFormat="1" applyFont="1" applyBorder="1" applyAlignment="1">
      <alignment vertical="center"/>
    </xf>
    <xf numFmtId="189" fontId="49" fillId="0" borderId="38" xfId="0" applyNumberFormat="1" applyFont="1" applyBorder="1" applyAlignment="1">
      <alignment vertical="center"/>
    </xf>
    <xf numFmtId="189" fontId="49" fillId="6" borderId="32" xfId="0" applyNumberFormat="1" applyFont="1" applyFill="1" applyBorder="1" applyAlignment="1">
      <alignment vertical="center"/>
    </xf>
    <xf numFmtId="189" fontId="49" fillId="0" borderId="38" xfId="0" applyNumberFormat="1" applyFont="1" applyFill="1" applyBorder="1" applyAlignment="1">
      <alignment vertical="center"/>
    </xf>
    <xf numFmtId="189" fontId="49" fillId="9" borderId="32" xfId="0" applyNumberFormat="1" applyFont="1" applyFill="1" applyBorder="1" applyAlignment="1">
      <alignment vertical="center"/>
    </xf>
    <xf numFmtId="189" fontId="49" fillId="6" borderId="56" xfId="0" applyNumberFormat="1" applyFont="1" applyFill="1" applyBorder="1" applyAlignment="1">
      <alignment vertical="center"/>
    </xf>
    <xf numFmtId="190" fontId="49" fillId="0" borderId="24" xfId="0" applyNumberFormat="1" applyFont="1" applyBorder="1" applyAlignment="1">
      <alignment vertical="center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177" fontId="50" fillId="0" borderId="21" xfId="21" applyFont="1" applyFill="1" applyBorder="1" applyAlignment="1">
      <alignment horizontal="center" vertical="center"/>
    </xf>
    <xf numFmtId="49" fontId="8" fillId="0" borderId="9" xfId="28" applyNumberFormat="1" applyFont="1" applyBorder="1" applyAlignment="1">
      <alignment horizontal="distributed" vertical="top" readingOrder="1"/>
    </xf>
    <xf numFmtId="49" fontId="8" fillId="0" borderId="0" xfId="28" applyNumberFormat="1" applyFont="1" applyBorder="1" applyAlignment="1">
      <alignment horizontal="distributed" vertical="top" readingOrder="1"/>
    </xf>
    <xf numFmtId="49" fontId="8" fillId="0" borderId="57" xfId="28" applyNumberFormat="1" applyFont="1" applyBorder="1" applyAlignment="1">
      <alignment horizontal="distributed" vertical="top" readingOrder="1"/>
    </xf>
    <xf numFmtId="0" fontId="8" fillId="0" borderId="5" xfId="21" applyNumberFormat="1" applyFont="1" applyBorder="1" applyAlignment="1">
      <alignment horizontal="left" vertical="top" readingOrder="1"/>
    </xf>
    <xf numFmtId="0" fontId="8" fillId="0" borderId="7" xfId="21" applyNumberFormat="1" applyFont="1" applyBorder="1" applyAlignment="1">
      <alignment horizontal="distributed" vertical="top" readingOrder="1"/>
    </xf>
    <xf numFmtId="0" fontId="8" fillId="0" borderId="6" xfId="21" applyNumberFormat="1" applyFont="1" applyBorder="1" applyAlignment="1">
      <alignment horizontal="distributed" vertical="top" readingOrder="1"/>
    </xf>
    <xf numFmtId="49" fontId="8" fillId="0" borderId="58" xfId="28" applyNumberFormat="1" applyFont="1" applyBorder="1" applyAlignment="1">
      <alignment horizontal="left" vertical="top" readingOrder="1"/>
    </xf>
    <xf numFmtId="49" fontId="8" fillId="0" borderId="5" xfId="21" applyNumberFormat="1" applyFont="1" applyBorder="1" applyAlignment="1">
      <alignment horizontal="left" vertical="top" readingOrder="1"/>
    </xf>
    <xf numFmtId="49" fontId="8" fillId="0" borderId="7" xfId="21" applyNumberFormat="1" applyFont="1" applyBorder="1" applyAlignment="1">
      <alignment horizontal="distributed" vertical="top" readingOrder="1"/>
    </xf>
    <xf numFmtId="49" fontId="8" fillId="0" borderId="5" xfId="21" applyNumberFormat="1" applyFont="1" applyBorder="1" applyAlignment="1">
      <alignment horizontal="distributed" vertical="top" readingOrder="1"/>
    </xf>
    <xf numFmtId="49" fontId="8" fillId="0" borderId="39" xfId="28" applyNumberFormat="1" applyFont="1" applyBorder="1" applyAlignment="1">
      <alignment horizontal="distributed" vertical="top" readingOrder="1"/>
    </xf>
    <xf numFmtId="49" fontId="8" fillId="0" borderId="39" xfId="28" applyNumberFormat="1" applyFont="1" applyBorder="1" applyAlignment="1">
      <alignment horizontal="distributed" vertical="top" readingOrder="1"/>
    </xf>
    <xf numFmtId="49" fontId="8" fillId="0" borderId="0" xfId="28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vertical="center" wrapText="1" readingOrder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 readingOrder="1"/>
    </xf>
    <xf numFmtId="177" fontId="8" fillId="0" borderId="39" xfId="21" applyFont="1" applyFill="1" applyBorder="1" applyAlignment="1">
      <alignment vertical="center"/>
    </xf>
    <xf numFmtId="177" fontId="8" fillId="0" borderId="59" xfId="21" applyFont="1" applyFill="1" applyBorder="1" applyAlignment="1">
      <alignment vertical="center"/>
    </xf>
    <xf numFmtId="177" fontId="8" fillId="0" borderId="39" xfId="21" applyFont="1" applyBorder="1" applyAlignment="1" applyProtection="1">
      <alignment horizontal="right" vertical="center"/>
      <protection locked="0"/>
    </xf>
    <xf numFmtId="177" fontId="6" fillId="3" borderId="3" xfId="21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readingOrder="1"/>
    </xf>
    <xf numFmtId="177" fontId="20" fillId="3" borderId="3" xfId="21" applyFont="1" applyFill="1" applyBorder="1" applyAlignment="1">
      <alignment horizontal="center" vertical="center"/>
    </xf>
    <xf numFmtId="0" fontId="22" fillId="0" borderId="7" xfId="21" applyNumberFormat="1" applyFont="1" applyBorder="1" applyAlignment="1">
      <alignment horizontal="distributed" vertical="top" shrinkToFit="1"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50" fillId="11" borderId="29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2" fillId="0" borderId="7" xfId="21" applyNumberFormat="1" applyFont="1" applyBorder="1" applyAlignment="1">
      <alignment horizontal="center" vertical="top" shrinkToFit="1"/>
    </xf>
    <xf numFmtId="191" fontId="8" fillId="0" borderId="5" xfId="21" applyNumberFormat="1" applyFont="1" applyBorder="1" applyAlignment="1">
      <alignment horizontal="left" vertical="center"/>
    </xf>
    <xf numFmtId="0" fontId="8" fillId="0" borderId="6" xfId="21" applyNumberFormat="1" applyFont="1" applyBorder="1" applyAlignment="1">
      <alignment horizontal="left" vertical="top" wrapText="1"/>
    </xf>
    <xf numFmtId="177" fontId="20" fillId="3" borderId="3" xfId="21" applyFont="1" applyFill="1" applyBorder="1" applyAlignment="1">
      <alignment horizontal="center" vertical="center"/>
    </xf>
    <xf numFmtId="0" fontId="22" fillId="0" borderId="7" xfId="21" applyNumberFormat="1" applyFont="1" applyBorder="1" applyAlignment="1">
      <alignment horizontal="distributed" vertical="top" shrinkToFit="1"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177" fontId="42" fillId="0" borderId="5" xfId="22" applyNumberFormat="1" applyFont="1" applyFill="1" applyBorder="1" applyAlignment="1">
      <alignment horizontal="center" vertical="center"/>
    </xf>
    <xf numFmtId="177" fontId="42" fillId="0" borderId="6" xfId="22" applyNumberFormat="1" applyFont="1" applyFill="1" applyBorder="1" applyAlignment="1">
      <alignment horizontal="center" vertical="center"/>
    </xf>
    <xf numFmtId="177" fontId="38" fillId="5" borderId="3" xfId="22" applyNumberFormat="1" applyFont="1" applyFill="1" applyBorder="1" applyAlignment="1">
      <alignment horizontal="center" vertical="center"/>
    </xf>
    <xf numFmtId="192" fontId="8" fillId="0" borderId="5" xfId="21" applyNumberFormat="1" applyFont="1" applyBorder="1" applyAlignment="1">
      <alignment horizontal="left" vertical="center" wrapText="1" readingOrder="1"/>
    </xf>
    <xf numFmtId="0" fontId="0" fillId="0" borderId="0" xfId="0"/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11" borderId="28" xfId="0" applyFont="1" applyFill="1" applyBorder="1" applyAlignment="1">
      <alignment horizontal="center" vertical="center"/>
    </xf>
    <xf numFmtId="0" fontId="50" fillId="11" borderId="30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188" fontId="50" fillId="0" borderId="21" xfId="0" applyNumberFormat="1" applyFont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188" fontId="50" fillId="0" borderId="24" xfId="0" applyNumberFormat="1" applyFont="1" applyBorder="1" applyAlignment="1">
      <alignment horizontal="right" vertical="center"/>
    </xf>
    <xf numFmtId="0" fontId="50" fillId="0" borderId="38" xfId="0" applyFont="1" applyBorder="1" applyAlignment="1">
      <alignment horizontal="center" vertical="center"/>
    </xf>
    <xf numFmtId="188" fontId="50" fillId="0" borderId="33" xfId="0" applyNumberFormat="1" applyFont="1" applyBorder="1" applyAlignment="1">
      <alignment horizontal="right" vertical="center"/>
    </xf>
    <xf numFmtId="188" fontId="50" fillId="0" borderId="23" xfId="0" applyNumberFormat="1" applyFont="1" applyBorder="1" applyAlignment="1">
      <alignment horizontal="right" vertical="center"/>
    </xf>
    <xf numFmtId="188" fontId="39" fillId="0" borderId="33" xfId="0" applyNumberFormat="1" applyFont="1" applyBorder="1" applyAlignment="1">
      <alignment horizontal="right" vertical="center"/>
    </xf>
    <xf numFmtId="177" fontId="8" fillId="0" borderId="5" xfId="21" applyFont="1" applyBorder="1" applyAlignment="1">
      <alignment vertical="center"/>
    </xf>
    <xf numFmtId="177" fontId="8" fillId="0" borderId="6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top" readingOrder="1"/>
    </xf>
    <xf numFmtId="0" fontId="8" fillId="0" borderId="6" xfId="21" applyNumberFormat="1" applyFont="1" applyBorder="1" applyAlignment="1">
      <alignment vertical="top" wrapText="1" readingOrder="1"/>
    </xf>
    <xf numFmtId="0" fontId="8" fillId="0" borderId="6" xfId="21" applyNumberFormat="1" applyFont="1" applyBorder="1" applyAlignment="1">
      <alignment vertical="top" readingOrder="1"/>
    </xf>
    <xf numFmtId="0" fontId="8" fillId="0" borderId="6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vertical="top" wrapText="1" readingOrder="1"/>
    </xf>
    <xf numFmtId="0" fontId="8" fillId="0" borderId="7" xfId="21" applyNumberFormat="1" applyFont="1" applyBorder="1" applyAlignment="1">
      <alignment vertical="top" readingOrder="1"/>
    </xf>
    <xf numFmtId="0" fontId="8" fillId="0" borderId="7" xfId="21" applyNumberFormat="1" applyFont="1" applyBorder="1" applyAlignment="1">
      <alignment horizontal="left" vertical="center" wrapText="1" readingOrder="1"/>
    </xf>
    <xf numFmtId="177" fontId="8" fillId="0" borderId="7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center" wrapText="1" readingOrder="1"/>
    </xf>
    <xf numFmtId="0" fontId="8" fillId="0" borderId="5" xfId="21" applyNumberFormat="1" applyFont="1" applyBorder="1" applyAlignment="1">
      <alignment horizontal="left" vertical="top" wrapText="1" readingOrder="1"/>
    </xf>
    <xf numFmtId="0" fontId="8" fillId="0" borderId="5" xfId="21" applyNumberFormat="1" applyFont="1" applyBorder="1" applyAlignment="1">
      <alignment horizontal="distributed" vertical="center" wrapText="1" readingOrder="1"/>
    </xf>
    <xf numFmtId="177" fontId="8" fillId="0" borderId="5" xfId="21" applyFont="1" applyBorder="1" applyAlignment="1" applyProtection="1">
      <alignment vertical="center"/>
      <protection locked="0"/>
    </xf>
    <xf numFmtId="0" fontId="8" fillId="0" borderId="6" xfId="21" applyNumberFormat="1" applyFont="1" applyBorder="1" applyAlignment="1">
      <alignment horizontal="distributed" vertical="center" readingOrder="1"/>
    </xf>
    <xf numFmtId="0" fontId="8" fillId="0" borderId="5" xfId="21" applyNumberFormat="1" applyFont="1" applyBorder="1" applyAlignment="1">
      <alignment horizontal="left" vertical="center" readingOrder="1"/>
    </xf>
    <xf numFmtId="177" fontId="8" fillId="0" borderId="5" xfId="2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center" wrapText="1" readingOrder="1"/>
    </xf>
    <xf numFmtId="177" fontId="8" fillId="0" borderId="7" xfId="21" applyFont="1" applyBorder="1" applyAlignment="1" applyProtection="1">
      <alignment vertical="center"/>
      <protection locked="0"/>
    </xf>
    <xf numFmtId="177" fontId="8" fillId="0" borderId="5" xfId="21" applyFont="1" applyBorder="1" applyAlignment="1" applyProtection="1">
      <alignment vertical="center"/>
      <protection/>
    </xf>
    <xf numFmtId="0" fontId="8" fillId="0" borderId="7" xfId="21" applyNumberFormat="1" applyFont="1" applyBorder="1" applyAlignment="1">
      <alignment horizontal="center" vertical="top" wrapText="1" readingOrder="1"/>
    </xf>
    <xf numFmtId="0" fontId="22" fillId="0" borderId="5" xfId="21" applyNumberFormat="1" applyFont="1" applyBorder="1" applyAlignment="1">
      <alignment horizontal="left" vertical="center" wrapText="1" readingOrder="1"/>
    </xf>
    <xf numFmtId="0" fontId="8" fillId="0" borderId="5" xfId="21" applyNumberFormat="1" applyFont="1" applyBorder="1" applyAlignment="1">
      <alignment horizontal="distributed" vertical="top" readingOrder="1"/>
    </xf>
    <xf numFmtId="0" fontId="22" fillId="0" borderId="5" xfId="21" applyNumberFormat="1" applyFont="1" applyBorder="1" applyAlignment="1">
      <alignment horizontal="distributed" vertical="center" wrapText="1" readingOrder="1"/>
    </xf>
    <xf numFmtId="0" fontId="8" fillId="0" borderId="5" xfId="21" applyNumberFormat="1" applyFont="1" applyBorder="1" applyAlignment="1">
      <alignment horizontal="distributed" vertical="top" wrapText="1" readingOrder="1"/>
    </xf>
    <xf numFmtId="177" fontId="8" fillId="0" borderId="5" xfId="21" applyFont="1" applyBorder="1" applyAlignment="1">
      <alignment horizontal="distributed" vertical="center" wrapText="1" readingOrder="1"/>
    </xf>
    <xf numFmtId="177" fontId="8" fillId="0" borderId="5" xfId="21" applyFont="1" applyFill="1" applyBorder="1" applyAlignment="1">
      <alignment vertical="center"/>
    </xf>
    <xf numFmtId="177" fontId="8" fillId="0" borderId="6" xfId="21" applyFont="1" applyBorder="1" applyAlignment="1">
      <alignment horizontal="distributed" vertical="center" wrapText="1" readingOrder="1"/>
    </xf>
    <xf numFmtId="0" fontId="22" fillId="0" borderId="7" xfId="21" applyNumberFormat="1" applyFont="1" applyBorder="1" applyAlignment="1">
      <alignment horizontal="distributed" vertical="center" wrapText="1" readingOrder="1"/>
    </xf>
    <xf numFmtId="49" fontId="8" fillId="0" borderId="7" xfId="21" applyNumberFormat="1" applyFont="1" applyBorder="1" applyAlignment="1" applyProtection="1">
      <alignment horizontal="left" vertical="top"/>
      <protection locked="0"/>
    </xf>
    <xf numFmtId="49" fontId="8" fillId="0" borderId="7" xfId="21" applyNumberFormat="1" applyFont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vertical="center"/>
      <protection locked="0"/>
    </xf>
    <xf numFmtId="49" fontId="8" fillId="0" borderId="7" xfId="21" applyNumberFormat="1" applyFont="1" applyBorder="1" applyAlignment="1">
      <alignment vertical="center"/>
    </xf>
    <xf numFmtId="49" fontId="8" fillId="0" borderId="6" xfId="21" applyNumberFormat="1" applyFont="1" applyBorder="1" applyAlignment="1">
      <alignment vertical="center"/>
    </xf>
    <xf numFmtId="177" fontId="8" fillId="0" borderId="5" xfId="2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6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readingOrder="1"/>
    </xf>
    <xf numFmtId="177" fontId="8" fillId="4" borderId="3" xfId="21" applyFont="1" applyFill="1" applyBorder="1" applyAlignment="1">
      <alignment vertical="center"/>
    </xf>
    <xf numFmtId="0" fontId="22" fillId="0" borderId="6" xfId="21" applyNumberFormat="1" applyFont="1" applyBorder="1" applyAlignment="1">
      <alignment horizontal="distributed" vertical="center" wrapText="1" readingOrder="1"/>
    </xf>
    <xf numFmtId="177" fontId="4" fillId="0" borderId="0" xfId="21" applyFont="1"/>
    <xf numFmtId="177" fontId="4" fillId="0" borderId="0" xfId="21" applyFont="1" applyAlignment="1">
      <alignment vertical="center"/>
    </xf>
    <xf numFmtId="0" fontId="8" fillId="0" borderId="5" xfId="21" applyNumberFormat="1" applyFont="1" applyFill="1" applyBorder="1" applyAlignment="1">
      <alignment horizontal="left" vertical="center"/>
    </xf>
    <xf numFmtId="177" fontId="8" fillId="0" borderId="5" xfId="21" applyFont="1" applyFill="1" applyBorder="1" applyAlignment="1">
      <alignment horizontal="center" vertical="center"/>
    </xf>
    <xf numFmtId="177" fontId="8" fillId="0" borderId="5" xfId="21" applyFont="1" applyBorder="1" applyAlignment="1">
      <alignment vertical="center"/>
    </xf>
    <xf numFmtId="177" fontId="8" fillId="0" borderId="6" xfId="21" applyFont="1" applyBorder="1" applyAlignment="1">
      <alignment vertical="center"/>
    </xf>
    <xf numFmtId="0" fontId="8" fillId="0" borderId="6" xfId="21" applyNumberFormat="1" applyFont="1" applyBorder="1" applyAlignment="1">
      <alignment horizontal="distributed" vertical="center" wrapText="1" readingOrder="1"/>
    </xf>
    <xf numFmtId="177" fontId="8" fillId="0" borderId="7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center" wrapText="1" readingOrder="1"/>
    </xf>
    <xf numFmtId="177" fontId="8" fillId="0" borderId="5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distributed" vertical="center" wrapText="1" readingOrder="1"/>
    </xf>
    <xf numFmtId="0" fontId="8" fillId="0" borderId="6" xfId="21" applyNumberFormat="1" applyFont="1" applyBorder="1" applyAlignment="1">
      <alignment horizontal="distributed" vertical="center" readingOrder="1"/>
    </xf>
    <xf numFmtId="0" fontId="8" fillId="0" borderId="5" xfId="21" applyNumberFormat="1" applyFont="1" applyBorder="1" applyAlignment="1">
      <alignment horizontal="left" vertical="center" readingOrder="1"/>
    </xf>
    <xf numFmtId="177" fontId="8" fillId="0" borderId="5" xfId="2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center" wrapText="1" readingOrder="1"/>
    </xf>
    <xf numFmtId="177" fontId="8" fillId="0" borderId="5" xfId="21" applyFont="1" applyBorder="1" applyAlignment="1" applyProtection="1">
      <alignment vertical="center"/>
      <protection/>
    </xf>
    <xf numFmtId="177" fontId="8" fillId="0" borderId="6" xfId="21" applyFont="1" applyBorder="1" applyAlignment="1" applyProtection="1">
      <alignment vertical="center"/>
      <protection/>
    </xf>
    <xf numFmtId="177" fontId="8" fillId="0" borderId="5" xfId="21" applyFont="1" applyFill="1" applyBorder="1" applyAlignment="1">
      <alignment vertical="center"/>
    </xf>
    <xf numFmtId="0" fontId="8" fillId="0" borderId="5" xfId="21" applyNumberFormat="1" applyFont="1" applyBorder="1" applyAlignment="1">
      <alignment horizontal="left" vertical="top"/>
    </xf>
    <xf numFmtId="0" fontId="8" fillId="0" borderId="5" xfId="21" applyNumberFormat="1" applyFont="1" applyBorder="1" applyAlignment="1">
      <alignment horizontal="left" vertical="center" wrapText="1"/>
    </xf>
    <xf numFmtId="0" fontId="8" fillId="0" borderId="7" xfId="21" applyNumberFormat="1" applyFont="1" applyBorder="1" applyAlignment="1">
      <alignment horizontal="left" vertical="top"/>
    </xf>
    <xf numFmtId="177" fontId="8" fillId="0" borderId="7" xfId="21" applyFont="1" applyBorder="1" applyAlignment="1" applyProtection="1">
      <alignment vertical="center"/>
      <protection/>
    </xf>
    <xf numFmtId="0" fontId="8" fillId="0" borderId="7" xfId="21" applyNumberFormat="1" applyFont="1" applyBorder="1" applyAlignment="1">
      <alignment horizontal="distributed" vertical="center" readingOrder="1"/>
    </xf>
    <xf numFmtId="0" fontId="8" fillId="0" borderId="7" xfId="21" applyNumberFormat="1" applyFont="1" applyBorder="1" applyAlignment="1">
      <alignment vertical="top" wrapText="1"/>
    </xf>
    <xf numFmtId="0" fontId="8" fillId="0" borderId="6" xfId="21" applyNumberFormat="1" applyFont="1" applyBorder="1" applyAlignment="1">
      <alignment vertical="top" wrapText="1"/>
    </xf>
    <xf numFmtId="177" fontId="8" fillId="0" borderId="7" xfId="21" applyFont="1" applyBorder="1" applyAlignment="1">
      <alignment horizontal="left" vertical="center"/>
    </xf>
    <xf numFmtId="177" fontId="8" fillId="0" borderId="5" xfId="21" applyFont="1" applyBorder="1" applyAlignment="1" applyProtection="1">
      <alignment horizontal="left" vertical="center"/>
      <protection/>
    </xf>
    <xf numFmtId="0" fontId="8" fillId="0" borderId="7" xfId="21" applyNumberFormat="1" applyFont="1" applyBorder="1" applyAlignment="1">
      <alignment vertical="top"/>
    </xf>
    <xf numFmtId="0" fontId="8" fillId="0" borderId="6" xfId="21" applyNumberFormat="1" applyFont="1" applyBorder="1" applyAlignment="1">
      <alignment vertical="top"/>
    </xf>
    <xf numFmtId="177" fontId="8" fillId="0" borderId="7" xfId="21" applyNumberFormat="1" applyFont="1" applyBorder="1" applyAlignment="1">
      <alignment vertical="center"/>
    </xf>
    <xf numFmtId="0" fontId="8" fillId="0" borderId="6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left" vertical="center" readingOrder="1"/>
    </xf>
    <xf numFmtId="49" fontId="8" fillId="0" borderId="7" xfId="21" applyNumberFormat="1" applyFont="1" applyBorder="1" applyAlignment="1">
      <alignment vertical="center"/>
    </xf>
    <xf numFmtId="49" fontId="8" fillId="0" borderId="6" xfId="21" applyNumberFormat="1" applyFont="1" applyBorder="1" applyAlignment="1">
      <alignment vertical="center"/>
    </xf>
    <xf numFmtId="177" fontId="8" fillId="0" borderId="8" xfId="21" applyFont="1" applyBorder="1" applyAlignment="1">
      <alignment vertical="center"/>
    </xf>
    <xf numFmtId="0" fontId="8" fillId="0" borderId="7" xfId="21" applyNumberFormat="1" applyFont="1" applyBorder="1" applyAlignment="1">
      <alignment horizontal="distributed" vertical="center" wrapText="1"/>
    </xf>
    <xf numFmtId="49" fontId="8" fillId="0" borderId="7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>
      <alignment vertical="center"/>
    </xf>
    <xf numFmtId="49" fontId="8" fillId="0" borderId="5" xfId="21" applyNumberFormat="1" applyFont="1" applyBorder="1" applyAlignment="1">
      <alignment horizontal="left" vertical="center"/>
    </xf>
    <xf numFmtId="49" fontId="8" fillId="0" borderId="7" xfId="21" applyNumberFormat="1" applyFont="1" applyBorder="1" applyAlignment="1">
      <alignment horizontal="left" vertical="center"/>
    </xf>
    <xf numFmtId="49" fontId="8" fillId="0" borderId="6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/>
    </xf>
    <xf numFmtId="49" fontId="8" fillId="0" borderId="5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 locked="0"/>
    </xf>
    <xf numFmtId="177" fontId="8" fillId="0" borderId="7" xfId="21" applyFont="1" applyFill="1" applyBorder="1" applyAlignment="1">
      <alignment vertical="center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distributed" vertical="top" wrapText="1"/>
    </xf>
    <xf numFmtId="177" fontId="8" fillId="4" borderId="3" xfId="21" applyFont="1" applyFill="1" applyBorder="1" applyAlignment="1">
      <alignment vertical="center"/>
    </xf>
    <xf numFmtId="177" fontId="29" fillId="4" borderId="3" xfId="21" applyFont="1" applyFill="1" applyBorder="1" applyAlignment="1">
      <alignment vertical="center"/>
    </xf>
    <xf numFmtId="177" fontId="8" fillId="0" borderId="5" xfId="21" applyFont="1" applyBorder="1"/>
    <xf numFmtId="0" fontId="8" fillId="0" borderId="6" xfId="21" applyNumberFormat="1" applyFont="1" applyBorder="1"/>
    <xf numFmtId="0" fontId="8" fillId="0" borderId="5" xfId="21" applyNumberFormat="1" applyFont="1" applyBorder="1" applyAlignment="1">
      <alignment vertical="top"/>
    </xf>
    <xf numFmtId="0" fontId="8" fillId="0" borderId="5" xfId="21" applyNumberFormat="1" applyFont="1" applyBorder="1" applyAlignment="1">
      <alignment vertical="top" wrapText="1"/>
    </xf>
    <xf numFmtId="177" fontId="8" fillId="0" borderId="7" xfId="21" applyFont="1" applyBorder="1" applyAlignment="1">
      <alignment horizontal="right" vertical="center"/>
    </xf>
    <xf numFmtId="177" fontId="8" fillId="0" borderId="7" xfId="30" applyNumberFormat="1" applyFont="1" applyBorder="1" applyAlignment="1">
      <alignment vertical="center" shrinkToFit="1"/>
      <protection/>
    </xf>
    <xf numFmtId="0" fontId="8" fillId="0" borderId="7" xfId="30" applyFont="1" applyBorder="1" applyAlignment="1">
      <alignment vertical="center" shrinkToFit="1"/>
      <protection/>
    </xf>
    <xf numFmtId="177" fontId="8" fillId="0" borderId="5" xfId="21" applyNumberFormat="1" applyFont="1" applyBorder="1" applyAlignment="1">
      <alignment horizontal="left" vertical="center"/>
    </xf>
    <xf numFmtId="0" fontId="22" fillId="0" borderId="7" xfId="21" applyNumberFormat="1" applyFont="1" applyBorder="1" applyAlignment="1">
      <alignment horizontal="distributed" vertical="top"/>
    </xf>
    <xf numFmtId="177" fontId="8" fillId="0" borderId="36" xfId="21" applyFont="1" applyBorder="1" applyAlignment="1">
      <alignment vertical="center"/>
    </xf>
    <xf numFmtId="177" fontId="8" fillId="0" borderId="7" xfId="21" applyNumberFormat="1" applyFont="1" applyFill="1" applyBorder="1" applyAlignment="1">
      <alignment vertical="center"/>
    </xf>
    <xf numFmtId="180" fontId="22" fillId="0" borderId="37" xfId="21" applyNumberFormat="1" applyFont="1" applyFill="1" applyBorder="1" applyAlignment="1">
      <alignment horizontal="left" vertical="center" shrinkToFit="1"/>
    </xf>
    <xf numFmtId="177" fontId="40" fillId="17" borderId="3" xfId="22" applyNumberFormat="1" applyFont="1" applyFill="1" applyBorder="1" applyAlignment="1">
      <alignment horizontal="right" vertical="center"/>
    </xf>
    <xf numFmtId="0" fontId="41" fillId="0" borderId="6" xfId="22" applyNumberFormat="1" applyFont="1" applyFill="1" applyBorder="1" applyAlignment="1">
      <alignment vertical="center"/>
    </xf>
    <xf numFmtId="0" fontId="41" fillId="0" borderId="6" xfId="22" applyNumberFormat="1" applyFont="1" applyFill="1" applyBorder="1" applyAlignment="1">
      <alignment vertical="center" wrapText="1" shrinkToFit="1"/>
    </xf>
    <xf numFmtId="0" fontId="41" fillId="12" borderId="6" xfId="22" applyNumberFormat="1" applyFont="1" applyFill="1" applyBorder="1" applyAlignment="1">
      <alignment horizontal="distributed" vertical="center"/>
    </xf>
    <xf numFmtId="177" fontId="42" fillId="12" borderId="6" xfId="22" applyNumberFormat="1" applyFont="1" applyFill="1" applyBorder="1" applyAlignment="1">
      <alignment horizontal="right" vertical="center"/>
    </xf>
    <xf numFmtId="49" fontId="8" fillId="0" borderId="3" xfId="21" applyNumberFormat="1" applyFont="1" applyBorder="1" applyAlignment="1">
      <alignment horizontal="left" vertical="top" readingOrder="1"/>
    </xf>
    <xf numFmtId="177" fontId="8" fillId="0" borderId="3" xfId="21" applyNumberFormat="1" applyFont="1" applyBorder="1" applyAlignment="1">
      <alignment vertical="center"/>
    </xf>
    <xf numFmtId="49" fontId="8" fillId="0" borderId="3" xfId="21" applyNumberFormat="1" applyFont="1" applyBorder="1" applyAlignment="1">
      <alignment horizontal="left" vertical="top" readingOrder="1"/>
    </xf>
    <xf numFmtId="0" fontId="8" fillId="0" borderId="3" xfId="21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center"/>
    </xf>
    <xf numFmtId="177" fontId="4" fillId="0" borderId="3" xfId="21" applyFont="1" applyBorder="1" applyAlignment="1">
      <alignment vertical="center"/>
    </xf>
    <xf numFmtId="177" fontId="8" fillId="0" borderId="6" xfId="30" applyNumberFormat="1" applyFont="1" applyBorder="1" applyAlignment="1">
      <alignment vertical="center" shrinkToFit="1"/>
      <protection/>
    </xf>
    <xf numFmtId="49" fontId="8" fillId="0" borderId="7" xfId="21" applyNumberFormat="1" applyFont="1" applyBorder="1"/>
    <xf numFmtId="0" fontId="8" fillId="0" borderId="5" xfId="30" applyFont="1" applyBorder="1" applyAlignment="1">
      <alignment vertical="center" shrinkToFit="1"/>
      <protection/>
    </xf>
    <xf numFmtId="0" fontId="8" fillId="0" borderId="6" xfId="30" applyFont="1" applyBorder="1" applyAlignment="1">
      <alignment vertical="center" shrinkToFit="1"/>
      <protection/>
    </xf>
    <xf numFmtId="177" fontId="8" fillId="0" borderId="3" xfId="21" applyFont="1" applyBorder="1" applyAlignment="1" applyProtection="1">
      <alignment vertical="center"/>
      <protection/>
    </xf>
    <xf numFmtId="49" fontId="8" fillId="0" borderId="3" xfId="21" applyNumberFormat="1" applyFont="1" applyBorder="1" applyAlignment="1" applyProtection="1">
      <alignment vertical="center"/>
      <protection/>
    </xf>
    <xf numFmtId="177" fontId="8" fillId="0" borderId="36" xfId="23" applyFont="1" applyBorder="1" applyAlignment="1">
      <alignment vertical="center"/>
    </xf>
    <xf numFmtId="49" fontId="8" fillId="0" borderId="6" xfId="23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177" fontId="8" fillId="0" borderId="6" xfId="21" applyFont="1" applyFill="1" applyBorder="1" applyAlignment="1" applyProtection="1">
      <alignment vertical="center"/>
      <protection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22" fillId="0" borderId="7" xfId="21" applyNumberFormat="1" applyFont="1" applyBorder="1" applyAlignment="1">
      <alignment horizontal="distributed" vertical="top" shrinkToFit="1"/>
    </xf>
    <xf numFmtId="0" fontId="57" fillId="0" borderId="7" xfId="21" applyNumberFormat="1" applyFont="1" applyBorder="1" applyAlignment="1">
      <alignment horizontal="distributed" vertical="top" wrapText="1" readingOrder="1"/>
    </xf>
    <xf numFmtId="0" fontId="24" fillId="0" borderId="7" xfId="21" applyNumberFormat="1" applyFont="1" applyBorder="1" applyAlignment="1">
      <alignment horizontal="distributed" vertical="top" wrapText="1" readingOrder="1"/>
    </xf>
    <xf numFmtId="0" fontId="8" fillId="0" borderId="3" xfId="21" applyNumberFormat="1" applyFont="1" applyBorder="1" applyAlignment="1">
      <alignment horizontal="left" vertical="top" wrapText="1" readingOrder="1"/>
    </xf>
    <xf numFmtId="49" fontId="8" fillId="0" borderId="6" xfId="21" applyNumberFormat="1" applyFont="1" applyBorder="1" applyAlignment="1">
      <alignment horizontal="distributed" vertical="top" readingOrder="1"/>
    </xf>
    <xf numFmtId="177" fontId="8" fillId="0" borderId="6" xfId="21" applyNumberFormat="1" applyFont="1" applyBorder="1" applyAlignment="1">
      <alignment vertical="center"/>
    </xf>
    <xf numFmtId="49" fontId="8" fillId="0" borderId="5" xfId="21" applyNumberFormat="1" applyFont="1" applyBorder="1" applyAlignment="1">
      <alignment horizontal="left" vertical="top" readingOrder="1"/>
    </xf>
    <xf numFmtId="49" fontId="8" fillId="0" borderId="5" xfId="21" applyNumberFormat="1" applyFont="1" applyBorder="1" applyAlignment="1">
      <alignment horizontal="distributed" vertical="top" readingOrder="1"/>
    </xf>
    <xf numFmtId="177" fontId="8" fillId="0" borderId="5" xfId="21" applyNumberFormat="1" applyFont="1" applyBorder="1" applyAlignment="1">
      <alignment vertical="center"/>
    </xf>
    <xf numFmtId="177" fontId="8" fillId="0" borderId="5" xfId="21" applyFont="1" applyBorder="1" applyAlignment="1">
      <alignment vertical="center"/>
    </xf>
    <xf numFmtId="177" fontId="8" fillId="0" borderId="6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top" readingOrder="1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6" xfId="21" applyNumberFormat="1" applyFont="1" applyBorder="1" applyAlignment="1">
      <alignment vertical="top" wrapText="1" readingOrder="1"/>
    </xf>
    <xf numFmtId="0" fontId="8" fillId="0" borderId="6" xfId="21" applyNumberFormat="1" applyFont="1" applyBorder="1" applyAlignment="1">
      <alignment vertical="top" readingOrder="1"/>
    </xf>
    <xf numFmtId="0" fontId="8" fillId="0" borderId="6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vertical="top" wrapText="1" readingOrder="1"/>
    </xf>
    <xf numFmtId="0" fontId="8" fillId="0" borderId="7" xfId="21" applyNumberFormat="1" applyFont="1" applyBorder="1" applyAlignment="1">
      <alignment vertical="top" readingOrder="1"/>
    </xf>
    <xf numFmtId="0" fontId="8" fillId="0" borderId="7" xfId="21" applyNumberFormat="1" applyFont="1" applyBorder="1" applyAlignment="1">
      <alignment horizontal="left" vertical="center" wrapText="1" readingOrder="1"/>
    </xf>
    <xf numFmtId="177" fontId="8" fillId="0" borderId="7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center" wrapText="1" readingOrder="1"/>
    </xf>
    <xf numFmtId="177" fontId="8" fillId="0" borderId="5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left" vertical="top" wrapText="1" readingOrder="1"/>
    </xf>
    <xf numFmtId="0" fontId="8" fillId="0" borderId="5" xfId="21" applyNumberFormat="1" applyFont="1" applyBorder="1" applyAlignment="1">
      <alignment horizontal="distributed" vertical="center" wrapText="1" readingOrder="1"/>
    </xf>
    <xf numFmtId="177" fontId="8" fillId="0" borderId="5" xfId="21" applyFont="1" applyBorder="1" applyAlignment="1" applyProtection="1">
      <alignment vertical="center"/>
      <protection locked="0"/>
    </xf>
    <xf numFmtId="0" fontId="8" fillId="0" borderId="6" xfId="21" applyNumberFormat="1" applyFont="1" applyBorder="1" applyAlignment="1">
      <alignment horizontal="distributed" vertical="center" readingOrder="1"/>
    </xf>
    <xf numFmtId="0" fontId="8" fillId="0" borderId="5" xfId="21" applyNumberFormat="1" applyFont="1" applyBorder="1" applyAlignment="1">
      <alignment horizontal="left" vertical="center" readingOrder="1"/>
    </xf>
    <xf numFmtId="177" fontId="8" fillId="0" borderId="6" xfId="21" applyFont="1" applyBorder="1" applyAlignment="1" applyProtection="1">
      <alignment vertical="center"/>
      <protection locked="0"/>
    </xf>
    <xf numFmtId="177" fontId="8" fillId="0" borderId="5" xfId="2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distributed" vertical="center" wrapText="1" readingOrder="1"/>
    </xf>
    <xf numFmtId="177" fontId="8" fillId="0" borderId="7" xfId="21" applyFont="1" applyBorder="1" applyAlignment="1" applyProtection="1">
      <alignment vertical="center"/>
      <protection locked="0"/>
    </xf>
    <xf numFmtId="0" fontId="8" fillId="0" borderId="6" xfId="21" applyNumberFormat="1" applyFont="1" applyBorder="1" applyAlignment="1">
      <alignment horizontal="distributed" vertical="top" readingOrder="1"/>
    </xf>
    <xf numFmtId="0" fontId="8" fillId="0" borderId="5" xfId="21" applyNumberFormat="1" applyFont="1" applyBorder="1" applyAlignment="1">
      <alignment horizontal="distributed" vertical="top" readingOrder="1"/>
    </xf>
    <xf numFmtId="0" fontId="22" fillId="0" borderId="5" xfId="21" applyNumberFormat="1" applyFont="1" applyBorder="1" applyAlignment="1">
      <alignment horizontal="distributed" vertical="center" wrapText="1" readingOrder="1"/>
    </xf>
    <xf numFmtId="0" fontId="8" fillId="0" borderId="5" xfId="21" applyNumberFormat="1" applyFont="1" applyBorder="1" applyAlignment="1">
      <alignment horizontal="distributed" vertical="top" wrapText="1" readingOrder="1"/>
    </xf>
    <xf numFmtId="0" fontId="25" fillId="0" borderId="5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left" vertical="top" wrapText="1" readingOrder="1"/>
    </xf>
    <xf numFmtId="177" fontId="8" fillId="0" borderId="5" xfId="21" applyFont="1" applyBorder="1" applyAlignment="1">
      <alignment horizontal="distributed" vertical="center" wrapText="1" readingOrder="1"/>
    </xf>
    <xf numFmtId="177" fontId="8" fillId="0" borderId="5" xfId="21" applyFont="1" applyFill="1" applyBorder="1" applyAlignment="1">
      <alignment vertical="center"/>
    </xf>
    <xf numFmtId="177" fontId="8" fillId="0" borderId="6" xfId="21" applyFont="1" applyBorder="1" applyAlignment="1">
      <alignment horizontal="distributed" vertical="center" wrapText="1" readingOrder="1"/>
    </xf>
    <xf numFmtId="177" fontId="8" fillId="4" borderId="3" xfId="21" applyFont="1" applyFill="1" applyBorder="1" applyAlignment="1">
      <alignment vertical="center"/>
    </xf>
    <xf numFmtId="177" fontId="8" fillId="0" borderId="7" xfId="21" applyFont="1" applyBorder="1" applyAlignment="1">
      <alignment horizontal="left" vertical="center"/>
    </xf>
    <xf numFmtId="49" fontId="8" fillId="0" borderId="7" xfId="21" applyNumberFormat="1" applyFont="1" applyBorder="1" applyAlignment="1">
      <alignment vertical="top" readingOrder="1"/>
    </xf>
    <xf numFmtId="49" fontId="8" fillId="0" borderId="7" xfId="21" applyNumberFormat="1" applyFont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vertical="center"/>
      <protection locked="0"/>
    </xf>
    <xf numFmtId="49" fontId="8" fillId="0" borderId="7" xfId="21" applyNumberFormat="1" applyFont="1" applyBorder="1" applyAlignment="1">
      <alignment vertical="center"/>
    </xf>
    <xf numFmtId="49" fontId="8" fillId="0" borderId="6" xfId="21" applyNumberFormat="1" applyFont="1" applyBorder="1" applyAlignment="1">
      <alignment vertical="center"/>
    </xf>
    <xf numFmtId="177" fontId="8" fillId="0" borderId="5" xfId="21" applyFont="1" applyBorder="1" applyAlignment="1">
      <alignment horizontal="distributed" vertical="top" wrapText="1" readingOrder="1"/>
    </xf>
    <xf numFmtId="0" fontId="8" fillId="0" borderId="7" xfId="0" applyFont="1" applyBorder="1" applyAlignment="1">
      <alignment/>
    </xf>
    <xf numFmtId="177" fontId="8" fillId="0" borderId="7" xfId="21" applyFont="1" applyFill="1" applyBorder="1" applyAlignment="1">
      <alignment vertical="center"/>
    </xf>
    <xf numFmtId="177" fontId="29" fillId="4" borderId="3" xfId="21" applyFont="1" applyFill="1" applyBorder="1" applyAlignment="1">
      <alignment vertical="center"/>
    </xf>
    <xf numFmtId="0" fontId="57" fillId="0" borderId="7" xfId="21" applyNumberFormat="1" applyFont="1" applyBorder="1" applyAlignment="1">
      <alignment horizontal="distributed" vertical="top" wrapText="1" readingOrder="1"/>
    </xf>
    <xf numFmtId="177" fontId="8" fillId="0" borderId="7" xfId="21" applyFont="1" applyBorder="1" applyAlignment="1">
      <alignment horizontal="distributed" vertical="center" wrapText="1" readingOrder="1"/>
    </xf>
    <xf numFmtId="0" fontId="8" fillId="0" borderId="5" xfId="21" applyNumberFormat="1" applyFont="1" applyFill="1" applyBorder="1" applyAlignment="1">
      <alignment horizontal="left" vertical="center"/>
    </xf>
    <xf numFmtId="177" fontId="8" fillId="0" borderId="5" xfId="21" applyFont="1" applyFill="1" applyBorder="1" applyAlignment="1">
      <alignment horizontal="center" vertical="center"/>
    </xf>
    <xf numFmtId="177" fontId="8" fillId="0" borderId="5" xfId="21" applyFont="1" applyBorder="1" applyAlignment="1">
      <alignment vertical="center"/>
    </xf>
    <xf numFmtId="177" fontId="8" fillId="0" borderId="6" xfId="21" applyFont="1" applyBorder="1" applyAlignment="1">
      <alignment vertical="center"/>
    </xf>
    <xf numFmtId="0" fontId="8" fillId="0" borderId="6" xfId="21" applyNumberFormat="1" applyFont="1" applyBorder="1" applyAlignment="1">
      <alignment vertical="top" wrapText="1" readingOrder="1"/>
    </xf>
    <xf numFmtId="0" fontId="8" fillId="0" borderId="6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horizontal="left" vertical="center" wrapText="1" readingOrder="1"/>
    </xf>
    <xf numFmtId="177" fontId="8" fillId="0" borderId="7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center" wrapText="1" readingOrder="1"/>
    </xf>
    <xf numFmtId="177" fontId="8" fillId="0" borderId="5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distributed" vertical="center" wrapText="1" readingOrder="1"/>
    </xf>
    <xf numFmtId="177" fontId="8" fillId="0" borderId="5" xfId="21" applyFont="1" applyBorder="1" applyAlignment="1" applyProtection="1">
      <alignment vertical="center"/>
      <protection locked="0"/>
    </xf>
    <xf numFmtId="0" fontId="8" fillId="0" borderId="6" xfId="21" applyNumberFormat="1" applyFont="1" applyBorder="1" applyAlignment="1">
      <alignment horizontal="distributed" vertical="center" readingOrder="1"/>
    </xf>
    <xf numFmtId="0" fontId="8" fillId="0" borderId="5" xfId="21" applyNumberFormat="1" applyFont="1" applyBorder="1" applyAlignment="1">
      <alignment horizontal="left" vertical="center" readingOrder="1"/>
    </xf>
    <xf numFmtId="177" fontId="8" fillId="0" borderId="6" xfId="21" applyFont="1" applyBorder="1" applyAlignment="1" applyProtection="1">
      <alignment vertical="center"/>
      <protection locked="0"/>
    </xf>
    <xf numFmtId="177" fontId="8" fillId="0" borderId="5" xfId="2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center" wrapText="1" readingOrder="1"/>
    </xf>
    <xf numFmtId="177" fontId="8" fillId="0" borderId="7" xfId="21" applyFont="1" applyBorder="1" applyAlignment="1" applyProtection="1">
      <alignment vertical="center"/>
      <protection locked="0"/>
    </xf>
    <xf numFmtId="177" fontId="8" fillId="0" borderId="5" xfId="21" applyFont="1" applyBorder="1" applyAlignment="1" applyProtection="1">
      <alignment vertical="center"/>
      <protection/>
    </xf>
    <xf numFmtId="177" fontId="8" fillId="0" borderId="6" xfId="21" applyFont="1" applyBorder="1" applyAlignment="1" applyProtection="1">
      <alignment vertical="center"/>
      <protection/>
    </xf>
    <xf numFmtId="0" fontId="8" fillId="0" borderId="5" xfId="21" applyNumberFormat="1" applyFont="1" applyBorder="1" applyAlignment="1">
      <alignment horizontal="distributed" vertical="top" readingOrder="1"/>
    </xf>
    <xf numFmtId="177" fontId="8" fillId="0" borderId="3" xfId="21" applyFont="1" applyBorder="1" applyAlignment="1">
      <alignment vertical="center"/>
    </xf>
    <xf numFmtId="0" fontId="24" fillId="0" borderId="5" xfId="21" applyNumberFormat="1" applyFont="1" applyBorder="1" applyAlignment="1">
      <alignment horizontal="distributed" vertical="center" wrapText="1" readingOrder="1"/>
    </xf>
    <xf numFmtId="177" fontId="8" fillId="4" borderId="3" xfId="21" applyFont="1" applyFill="1" applyBorder="1" applyAlignment="1">
      <alignment vertical="center"/>
    </xf>
    <xf numFmtId="0" fontId="8" fillId="0" borderId="6" xfId="21" applyNumberFormat="1" applyFont="1" applyBorder="1" applyAlignment="1">
      <alignment horizontal="distributed" vertical="top"/>
    </xf>
    <xf numFmtId="0" fontId="8" fillId="0" borderId="6" xfId="21" applyNumberFormat="1" applyFont="1" applyBorder="1"/>
    <xf numFmtId="0" fontId="8" fillId="0" borderId="5" xfId="21" applyNumberFormat="1" applyFont="1" applyBorder="1" applyAlignment="1">
      <alignment horizontal="left" vertical="top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left" vertical="top"/>
    </xf>
    <xf numFmtId="177" fontId="8" fillId="0" borderId="7" xfId="21" applyFont="1" applyBorder="1" applyAlignment="1" applyProtection="1">
      <alignment vertical="center"/>
      <protection/>
    </xf>
    <xf numFmtId="0" fontId="8" fillId="0" borderId="5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center" readingOrder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vertical="top" wrapText="1"/>
    </xf>
    <xf numFmtId="0" fontId="8" fillId="0" borderId="6" xfId="21" applyNumberFormat="1" applyFont="1" applyBorder="1" applyAlignment="1">
      <alignment vertical="top" wrapText="1"/>
    </xf>
    <xf numFmtId="0" fontId="8" fillId="0" borderId="5" xfId="21" applyNumberFormat="1" applyFont="1" applyBorder="1" applyAlignment="1">
      <alignment horizontal="left" vertical="top" wrapText="1"/>
    </xf>
    <xf numFmtId="177" fontId="8" fillId="0" borderId="7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vertical="top" wrapText="1"/>
    </xf>
    <xf numFmtId="177" fontId="8" fillId="0" borderId="5" xfId="21" applyFont="1" applyBorder="1" applyAlignment="1" applyProtection="1">
      <alignment horizontal="left" vertical="center"/>
      <protection/>
    </xf>
    <xf numFmtId="0" fontId="8" fillId="0" borderId="7" xfId="21" applyNumberFormat="1" applyFont="1" applyBorder="1" applyAlignment="1">
      <alignment vertical="top"/>
    </xf>
    <xf numFmtId="0" fontId="8" fillId="0" borderId="6" xfId="21" applyNumberFormat="1" applyFont="1" applyBorder="1" applyAlignment="1">
      <alignment vertical="top"/>
    </xf>
    <xf numFmtId="177" fontId="8" fillId="0" borderId="5" xfId="21" applyFont="1" applyBorder="1"/>
    <xf numFmtId="49" fontId="8" fillId="0" borderId="7" xfId="21" applyNumberFormat="1" applyFont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vertical="center"/>
      <protection locked="0"/>
    </xf>
    <xf numFmtId="49" fontId="8" fillId="0" borderId="7" xfId="21" applyNumberFormat="1" applyFont="1" applyBorder="1" applyAlignment="1">
      <alignment vertical="center"/>
    </xf>
    <xf numFmtId="49" fontId="8" fillId="0" borderId="6" xfId="21" applyNumberFormat="1" applyFont="1" applyBorder="1" applyAlignment="1">
      <alignment vertical="center"/>
    </xf>
    <xf numFmtId="0" fontId="8" fillId="0" borderId="7" xfId="21" applyNumberFormat="1" applyFont="1" applyBorder="1" applyAlignment="1">
      <alignment horizontal="distributed" vertical="top" shrinkToFit="1"/>
    </xf>
    <xf numFmtId="49" fontId="8" fillId="0" borderId="7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>
      <alignment vertical="center"/>
    </xf>
    <xf numFmtId="49" fontId="8" fillId="0" borderId="5" xfId="21" applyNumberFormat="1" applyFont="1" applyBorder="1" applyAlignment="1">
      <alignment horizontal="left" vertical="center"/>
    </xf>
    <xf numFmtId="49" fontId="8" fillId="0" borderId="7" xfId="21" applyNumberFormat="1" applyFont="1" applyBorder="1" applyAlignment="1">
      <alignment horizontal="left" vertical="center"/>
    </xf>
    <xf numFmtId="49" fontId="8" fillId="0" borderId="6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/>
    </xf>
    <xf numFmtId="49" fontId="8" fillId="0" borderId="5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 locked="0"/>
    </xf>
    <xf numFmtId="49" fontId="8" fillId="0" borderId="0" xfId="21" applyNumberFormat="1" applyFont="1"/>
    <xf numFmtId="0" fontId="8" fillId="0" borderId="0" xfId="0" applyFont="1" applyAlignment="1">
      <alignment vertical="center" shrinkToFit="1"/>
    </xf>
    <xf numFmtId="177" fontId="8" fillId="0" borderId="7" xfId="21" applyFont="1" applyFill="1" applyBorder="1" applyAlignment="1">
      <alignment vertical="center"/>
    </xf>
    <xf numFmtId="49" fontId="8" fillId="0" borderId="39" xfId="2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 shrinkToFit="1"/>
    </xf>
    <xf numFmtId="177" fontId="29" fillId="4" borderId="3" xfId="21" applyFont="1" applyFill="1" applyBorder="1" applyAlignment="1">
      <alignment vertical="center"/>
    </xf>
    <xf numFmtId="49" fontId="8" fillId="0" borderId="5" xfId="21" applyNumberFormat="1" applyFont="1" applyBorder="1" applyAlignment="1" applyProtection="1">
      <alignment vertical="center"/>
      <protection locked="0"/>
    </xf>
    <xf numFmtId="0" fontId="8" fillId="0" borderId="57" xfId="0" applyFont="1" applyBorder="1" applyAlignment="1">
      <alignment vertical="center" shrinkToFit="1"/>
    </xf>
    <xf numFmtId="0" fontId="8" fillId="0" borderId="3" xfId="21" applyNumberFormat="1" applyFont="1" applyBorder="1" applyAlignment="1">
      <alignment horizontal="distributed" vertical="center" wrapText="1" readingOrder="1"/>
    </xf>
    <xf numFmtId="0" fontId="8" fillId="0" borderId="59" xfId="0" applyFont="1" applyBorder="1" applyAlignment="1">
      <alignment vertical="center" shrinkToFit="1"/>
    </xf>
    <xf numFmtId="0" fontId="8" fillId="0" borderId="3" xfId="21" applyNumberFormat="1" applyFont="1" applyBorder="1" applyAlignment="1">
      <alignment horizontal="left" vertical="center" wrapText="1" readingOrder="1"/>
    </xf>
    <xf numFmtId="177" fontId="8" fillId="0" borderId="3" xfId="21" applyFont="1" applyBorder="1" applyAlignment="1">
      <alignment horizontal="left" vertical="center"/>
    </xf>
    <xf numFmtId="0" fontId="8" fillId="0" borderId="3" xfId="21" applyNumberFormat="1" applyFont="1" applyBorder="1" applyAlignment="1">
      <alignment horizontal="left" vertical="top" wrapText="1"/>
    </xf>
    <xf numFmtId="177" fontId="22" fillId="0" borderId="39" xfId="21" applyFont="1" applyBorder="1" applyAlignment="1">
      <alignment shrinkToFit="1"/>
    </xf>
    <xf numFmtId="49" fontId="8" fillId="0" borderId="0" xfId="21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4" borderId="3" xfId="21" applyNumberFormat="1" applyFont="1" applyFill="1" applyBorder="1" applyAlignment="1">
      <alignment horizontal="distributed" vertical="center"/>
    </xf>
    <xf numFmtId="177" fontId="6" fillId="3" borderId="3" xfId="21" applyFont="1" applyFill="1" applyBorder="1" applyAlignment="1">
      <alignment horizontal="center" vertical="center"/>
    </xf>
    <xf numFmtId="177" fontId="21" fillId="0" borderId="0" xfId="21" applyFont="1" applyBorder="1" applyAlignment="1">
      <alignment horizontal="center" vertical="top" wrapText="1"/>
    </xf>
    <xf numFmtId="177" fontId="21" fillId="0" borderId="0" xfId="21" applyFont="1" applyBorder="1" applyAlignment="1">
      <alignment horizontal="center" vertical="top"/>
    </xf>
    <xf numFmtId="177" fontId="6" fillId="0" borderId="0" xfId="21" applyFont="1" applyBorder="1" applyAlignment="1">
      <alignment horizontal="center" vertical="top" wrapText="1"/>
    </xf>
    <xf numFmtId="177" fontId="9" fillId="3" borderId="64" xfId="21" applyFont="1" applyFill="1" applyBorder="1" applyAlignment="1">
      <alignment horizontal="center" vertical="center"/>
    </xf>
    <xf numFmtId="177" fontId="9" fillId="3" borderId="2" xfId="21" applyFont="1" applyFill="1" applyBorder="1" applyAlignment="1">
      <alignment horizontal="center" vertical="center"/>
    </xf>
    <xf numFmtId="177" fontId="9" fillId="3" borderId="37" xfId="21" applyFont="1" applyFill="1" applyBorder="1" applyAlignment="1">
      <alignment horizontal="center" vertical="center"/>
    </xf>
    <xf numFmtId="177" fontId="6" fillId="3" borderId="64" xfId="21" applyFont="1" applyFill="1" applyBorder="1" applyAlignment="1">
      <alignment horizontal="center" vertical="center"/>
    </xf>
    <xf numFmtId="177" fontId="6" fillId="3" borderId="2" xfId="21" applyFont="1" applyFill="1" applyBorder="1" applyAlignment="1">
      <alignment horizontal="center" vertical="center"/>
    </xf>
    <xf numFmtId="177" fontId="6" fillId="3" borderId="37" xfId="21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center" vertical="top" wrapText="1"/>
    </xf>
    <xf numFmtId="0" fontId="8" fillId="0" borderId="6" xfId="21" applyNumberFormat="1" applyFont="1" applyBorder="1" applyAlignment="1">
      <alignment horizontal="distributed" vertical="top"/>
    </xf>
    <xf numFmtId="0" fontId="8" fillId="0" borderId="3" xfId="21" applyNumberFormat="1" applyFont="1" applyBorder="1" applyAlignment="1">
      <alignment horizontal="distributed" vertical="top"/>
    </xf>
    <xf numFmtId="0" fontId="32" fillId="0" borderId="6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18" borderId="70" xfId="0" applyFont="1" applyFill="1" applyBorder="1" applyAlignment="1">
      <alignment horizontal="center" vertical="center"/>
    </xf>
    <xf numFmtId="0" fontId="32" fillId="18" borderId="71" xfId="0" applyFont="1" applyFill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16" borderId="73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177" fontId="6" fillId="0" borderId="9" xfId="21" applyFont="1" applyBorder="1" applyAlignment="1">
      <alignment horizontal="center" vertical="top" wrapText="1"/>
    </xf>
    <xf numFmtId="177" fontId="28" fillId="3" borderId="64" xfId="21" applyFont="1" applyFill="1" applyBorder="1" applyAlignment="1">
      <alignment horizontal="center" vertical="center"/>
    </xf>
    <xf numFmtId="177" fontId="28" fillId="3" borderId="2" xfId="21" applyFont="1" applyFill="1" applyBorder="1" applyAlignment="1">
      <alignment horizontal="center" vertical="center"/>
    </xf>
    <xf numFmtId="177" fontId="28" fillId="3" borderId="37" xfId="21" applyFont="1" applyFill="1" applyBorder="1" applyAlignment="1">
      <alignment horizontal="center" vertical="center"/>
    </xf>
    <xf numFmtId="177" fontId="20" fillId="3" borderId="3" xfId="21" applyFont="1" applyFill="1" applyBorder="1" applyAlignment="1">
      <alignment horizontal="center" vertical="center"/>
    </xf>
    <xf numFmtId="177" fontId="20" fillId="3" borderId="3" xfId="21" applyFont="1" applyFill="1" applyBorder="1" applyAlignment="1">
      <alignment horizontal="center" vertical="center" wrapText="1"/>
    </xf>
    <xf numFmtId="0" fontId="8" fillId="0" borderId="7" xfId="21" applyNumberFormat="1" applyFont="1" applyBorder="1" applyAlignment="1">
      <alignment horizontal="distributed" vertical="top" readingOrder="1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9" fillId="5" borderId="74" xfId="0" applyFont="1" applyFill="1" applyBorder="1" applyAlignment="1">
      <alignment horizontal="center" vertical="center"/>
    </xf>
    <xf numFmtId="0" fontId="49" fillId="5" borderId="75" xfId="0" applyFont="1" applyFill="1" applyBorder="1" applyAlignment="1">
      <alignment horizontal="center" vertical="center"/>
    </xf>
    <xf numFmtId="0" fontId="49" fillId="3" borderId="76" xfId="0" applyFont="1" applyFill="1" applyBorder="1" applyAlignment="1">
      <alignment horizontal="left" vertical="justify" shrinkToFit="1"/>
    </xf>
    <xf numFmtId="0" fontId="49" fillId="3" borderId="13" xfId="0" applyFont="1" applyFill="1" applyBorder="1" applyAlignment="1">
      <alignment horizontal="left" vertical="justify" shrinkToFit="1"/>
    </xf>
    <xf numFmtId="0" fontId="49" fillId="3" borderId="77" xfId="0" applyFont="1" applyFill="1" applyBorder="1" applyAlignment="1">
      <alignment horizontal="left" vertical="justify" shrinkToFit="1"/>
    </xf>
    <xf numFmtId="0" fontId="49" fillId="3" borderId="14" xfId="0" applyFont="1" applyFill="1" applyBorder="1" applyAlignment="1">
      <alignment horizontal="left" vertical="justify" shrinkToFit="1"/>
    </xf>
    <xf numFmtId="0" fontId="49" fillId="6" borderId="78" xfId="0" applyFont="1" applyFill="1" applyBorder="1" applyAlignment="1">
      <alignment horizontal="left" vertical="center" shrinkToFit="1"/>
    </xf>
    <xf numFmtId="0" fontId="49" fillId="6" borderId="15" xfId="0" applyFont="1" applyFill="1" applyBorder="1" applyAlignment="1">
      <alignment horizontal="left" vertical="center" shrinkToFit="1"/>
    </xf>
    <xf numFmtId="0" fontId="49" fillId="6" borderId="79" xfId="0" applyFont="1" applyFill="1" applyBorder="1" applyAlignment="1">
      <alignment horizontal="left" vertical="center" shrinkToFit="1"/>
    </xf>
    <xf numFmtId="0" fontId="49" fillId="5" borderId="80" xfId="0" applyFont="1" applyFill="1" applyBorder="1" applyAlignment="1">
      <alignment horizontal="center" vertical="center"/>
    </xf>
    <xf numFmtId="0" fontId="49" fillId="5" borderId="81" xfId="0" applyFont="1" applyFill="1" applyBorder="1" applyAlignment="1">
      <alignment horizontal="center" vertical="center"/>
    </xf>
    <xf numFmtId="0" fontId="49" fillId="5" borderId="82" xfId="0" applyFont="1" applyFill="1" applyBorder="1" applyAlignment="1">
      <alignment horizontal="center" vertical="center"/>
    </xf>
    <xf numFmtId="0" fontId="49" fillId="5" borderId="83" xfId="0" applyFont="1" applyFill="1" applyBorder="1" applyAlignment="1">
      <alignment horizontal="center" vertical="center"/>
    </xf>
    <xf numFmtId="0" fontId="49" fillId="5" borderId="84" xfId="0" applyFont="1" applyFill="1" applyBorder="1" applyAlignment="1">
      <alignment horizontal="center" vertical="center"/>
    </xf>
    <xf numFmtId="0" fontId="49" fillId="5" borderId="85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9" fillId="3" borderId="79" xfId="0" applyFont="1" applyFill="1" applyBorder="1" applyAlignment="1">
      <alignment horizontal="left" vertical="justify" shrinkToFit="1"/>
    </xf>
    <xf numFmtId="0" fontId="49" fillId="3" borderId="15" xfId="0" applyFont="1" applyFill="1" applyBorder="1" applyAlignment="1">
      <alignment horizontal="left" vertical="justify" shrinkToFit="1"/>
    </xf>
    <xf numFmtId="0" fontId="49" fillId="3" borderId="78" xfId="0" applyFont="1" applyFill="1" applyBorder="1" applyAlignment="1">
      <alignment horizontal="left" vertical="justify" shrinkToFit="1"/>
    </xf>
    <xf numFmtId="0" fontId="49" fillId="3" borderId="78" xfId="0" applyFont="1" applyFill="1" applyBorder="1" applyAlignment="1">
      <alignment horizontal="left" vertical="center" shrinkToFit="1"/>
    </xf>
    <xf numFmtId="0" fontId="49" fillId="3" borderId="15" xfId="0" applyFont="1" applyFill="1" applyBorder="1" applyAlignment="1">
      <alignment horizontal="left" vertical="center" shrinkToFit="1"/>
    </xf>
    <xf numFmtId="0" fontId="49" fillId="3" borderId="47" xfId="0" applyFont="1" applyFill="1" applyBorder="1" applyAlignment="1">
      <alignment horizontal="left" vertical="center" shrinkToFit="1"/>
    </xf>
    <xf numFmtId="0" fontId="49" fillId="6" borderId="86" xfId="0" applyFont="1" applyFill="1" applyBorder="1" applyAlignment="1">
      <alignment horizontal="center" vertical="center"/>
    </xf>
    <xf numFmtId="0" fontId="49" fillId="6" borderId="87" xfId="0" applyFont="1" applyFill="1" applyBorder="1" applyAlignment="1">
      <alignment horizontal="center" vertical="center"/>
    </xf>
    <xf numFmtId="0" fontId="49" fillId="6" borderId="88" xfId="0" applyFont="1" applyFill="1" applyBorder="1" applyAlignment="1">
      <alignment horizontal="center" vertical="center"/>
    </xf>
    <xf numFmtId="0" fontId="49" fillId="6" borderId="27" xfId="0" applyFont="1" applyFill="1" applyBorder="1" applyAlignment="1">
      <alignment horizontal="center" vertical="center"/>
    </xf>
    <xf numFmtId="0" fontId="49" fillId="3" borderId="89" xfId="0" applyFont="1" applyFill="1" applyBorder="1" applyAlignment="1">
      <alignment horizontal="center" vertical="center" shrinkToFit="1"/>
    </xf>
    <xf numFmtId="0" fontId="49" fillId="3" borderId="90" xfId="0" applyFont="1" applyFill="1" applyBorder="1" applyAlignment="1">
      <alignment horizontal="center" vertical="center" shrinkToFit="1"/>
    </xf>
    <xf numFmtId="0" fontId="49" fillId="3" borderId="91" xfId="0" applyFont="1" applyFill="1" applyBorder="1" applyAlignment="1">
      <alignment horizontal="center" vertical="center" shrinkToFit="1"/>
    </xf>
    <xf numFmtId="0" fontId="49" fillId="5" borderId="92" xfId="0" applyFont="1" applyFill="1" applyBorder="1" applyAlignment="1">
      <alignment horizontal="left" vertical="center" shrinkToFit="1"/>
    </xf>
    <xf numFmtId="0" fontId="49" fillId="5" borderId="16" xfId="0" applyFont="1" applyFill="1" applyBorder="1" applyAlignment="1">
      <alignment horizontal="left" vertical="center" shrinkToFit="1"/>
    </xf>
    <xf numFmtId="0" fontId="49" fillId="5" borderId="93" xfId="0" applyFont="1" applyFill="1" applyBorder="1" applyAlignment="1">
      <alignment horizontal="left" vertical="center" shrinkToFit="1"/>
    </xf>
    <xf numFmtId="0" fontId="47" fillId="0" borderId="0" xfId="0" applyFont="1" applyAlignment="1">
      <alignment horizontal="center" vertical="center"/>
    </xf>
    <xf numFmtId="0" fontId="49" fillId="6" borderId="94" xfId="0" applyFont="1" applyFill="1" applyBorder="1" applyAlignment="1">
      <alignment horizontal="left" vertical="center"/>
    </xf>
    <xf numFmtId="0" fontId="49" fillId="6" borderId="73" xfId="0" applyFont="1" applyFill="1" applyBorder="1" applyAlignment="1">
      <alignment horizontal="left" vertical="center"/>
    </xf>
    <xf numFmtId="0" fontId="49" fillId="6" borderId="26" xfId="0" applyFont="1" applyFill="1" applyBorder="1" applyAlignment="1">
      <alignment horizontal="left" vertical="center"/>
    </xf>
    <xf numFmtId="0" fontId="49" fillId="6" borderId="21" xfId="0" applyFont="1" applyFill="1" applyBorder="1" applyAlignment="1">
      <alignment horizontal="left" vertical="center"/>
    </xf>
    <xf numFmtId="0" fontId="49" fillId="3" borderId="79" xfId="0" applyFont="1" applyFill="1" applyBorder="1" applyAlignment="1">
      <alignment horizontal="left" vertical="center" shrinkToFit="1"/>
    </xf>
    <xf numFmtId="0" fontId="11" fillId="3" borderId="3" xfId="21" applyNumberFormat="1" applyFont="1" applyFill="1" applyBorder="1" applyAlignment="1">
      <alignment horizontal="distributed" vertical="center" shrinkToFit="1"/>
    </xf>
    <xf numFmtId="49" fontId="22" fillId="0" borderId="7" xfId="28" applyNumberFormat="1" applyFont="1" applyBorder="1" applyAlignment="1">
      <alignment horizontal="distributed" vertical="top" shrinkToFit="1"/>
    </xf>
    <xf numFmtId="49" fontId="22" fillId="0" borderId="6" xfId="28" applyNumberFormat="1" applyFont="1" applyBorder="1" applyAlignment="1">
      <alignment horizontal="distributed" vertical="top" shrinkToFit="1"/>
    </xf>
    <xf numFmtId="0" fontId="22" fillId="0" borderId="7" xfId="21" applyNumberFormat="1" applyFont="1" applyBorder="1" applyAlignment="1">
      <alignment horizontal="distributed" vertical="top" shrinkToFit="1"/>
    </xf>
    <xf numFmtId="177" fontId="21" fillId="3" borderId="64" xfId="21" applyFont="1" applyFill="1" applyBorder="1" applyAlignment="1">
      <alignment horizontal="center" vertical="center"/>
    </xf>
    <xf numFmtId="177" fontId="21" fillId="3" borderId="2" xfId="21" applyFont="1" applyFill="1" applyBorder="1" applyAlignment="1">
      <alignment horizontal="center" vertical="center"/>
    </xf>
    <xf numFmtId="177" fontId="21" fillId="3" borderId="37" xfId="21" applyFont="1" applyFill="1" applyBorder="1" applyAlignment="1">
      <alignment horizontal="center" vertical="center"/>
    </xf>
    <xf numFmtId="0" fontId="22" fillId="0" borderId="6" xfId="21" applyNumberFormat="1" applyFont="1" applyBorder="1" applyAlignment="1">
      <alignment horizontal="distributed" vertical="top" shrinkToFit="1"/>
    </xf>
    <xf numFmtId="0" fontId="22" fillId="0" borderId="3" xfId="21" applyNumberFormat="1" applyFont="1" applyBorder="1" applyAlignment="1">
      <alignment horizontal="distributed" vertical="top" shrinkToFit="1"/>
    </xf>
    <xf numFmtId="0" fontId="22" fillId="0" borderId="5" xfId="21" applyNumberFormat="1" applyFont="1" applyBorder="1" applyAlignment="1">
      <alignment horizontal="distributed" vertical="top" shrinkToFit="1"/>
    </xf>
    <xf numFmtId="0" fontId="22" fillId="0" borderId="6" xfId="21" applyNumberFormat="1" applyFont="1" applyBorder="1" applyAlignment="1">
      <alignment horizontal="center" vertical="top" shrinkToFit="1"/>
    </xf>
    <xf numFmtId="0" fontId="22" fillId="0" borderId="3" xfId="21" applyNumberFormat="1" applyFont="1" applyBorder="1" applyAlignment="1">
      <alignment horizontal="center" vertical="top" shrinkToFit="1"/>
    </xf>
    <xf numFmtId="0" fontId="41" fillId="14" borderId="64" xfId="22" applyNumberFormat="1" applyFont="1" applyFill="1" applyBorder="1" applyAlignment="1">
      <alignment horizontal="center" vertical="center"/>
    </xf>
    <xf numFmtId="0" fontId="41" fillId="14" borderId="2" xfId="22" applyNumberFormat="1" applyFont="1" applyFill="1" applyBorder="1" applyAlignment="1">
      <alignment horizontal="center" vertical="center"/>
    </xf>
    <xf numFmtId="0" fontId="41" fillId="14" borderId="37" xfId="22" applyNumberFormat="1" applyFont="1" applyFill="1" applyBorder="1" applyAlignment="1">
      <alignment horizontal="center" vertical="center"/>
    </xf>
    <xf numFmtId="0" fontId="38" fillId="15" borderId="3" xfId="22" applyNumberFormat="1" applyFont="1" applyFill="1" applyBorder="1" applyAlignment="1">
      <alignment horizontal="distributed" vertical="center"/>
    </xf>
    <xf numFmtId="0" fontId="41" fillId="14" borderId="64" xfId="22" applyNumberFormat="1" applyFont="1" applyFill="1" applyBorder="1" applyAlignment="1">
      <alignment horizontal="center" vertical="center" wrapText="1"/>
    </xf>
    <xf numFmtId="0" fontId="41" fillId="14" borderId="2" xfId="22" applyNumberFormat="1" applyFont="1" applyFill="1" applyBorder="1" applyAlignment="1">
      <alignment horizontal="center" vertical="center" wrapText="1"/>
    </xf>
    <xf numFmtId="0" fontId="41" fillId="14" borderId="37" xfId="22" applyNumberFormat="1" applyFont="1" applyFill="1" applyBorder="1" applyAlignment="1">
      <alignment horizontal="center" vertical="center" wrapText="1"/>
    </xf>
    <xf numFmtId="0" fontId="41" fillId="0" borderId="3" xfId="22" applyNumberFormat="1" applyFont="1" applyFill="1" applyBorder="1" applyAlignment="1">
      <alignment horizontal="center" vertical="center" textRotation="255"/>
    </xf>
    <xf numFmtId="0" fontId="41" fillId="0" borderId="5" xfId="22" applyNumberFormat="1" applyFont="1" applyFill="1" applyBorder="1" applyAlignment="1">
      <alignment horizontal="center" vertical="center"/>
    </xf>
    <xf numFmtId="0" fontId="41" fillId="0" borderId="7" xfId="22" applyNumberFormat="1" applyFont="1" applyFill="1" applyBorder="1" applyAlignment="1">
      <alignment horizontal="center" vertical="center"/>
    </xf>
    <xf numFmtId="0" fontId="44" fillId="0" borderId="7" xfId="22" applyNumberFormat="1" applyFont="1" applyFill="1" applyBorder="1" applyAlignment="1">
      <alignment horizontal="center" vertical="center" textRotation="255"/>
    </xf>
    <xf numFmtId="0" fontId="44" fillId="0" borderId="6" xfId="22" applyNumberFormat="1" applyFont="1" applyFill="1" applyBorder="1" applyAlignment="1">
      <alignment horizontal="center" vertical="center" textRotation="255"/>
    </xf>
    <xf numFmtId="0" fontId="41" fillId="0" borderId="5" xfId="22" applyNumberFormat="1" applyFont="1" applyFill="1" applyBorder="1" applyAlignment="1">
      <alignment horizontal="center" vertical="center" textRotation="255" wrapText="1"/>
    </xf>
    <xf numFmtId="0" fontId="41" fillId="0" borderId="7" xfId="22" applyNumberFormat="1" applyFont="1" applyFill="1" applyBorder="1" applyAlignment="1">
      <alignment horizontal="center" vertical="center" textRotation="255" wrapText="1"/>
    </xf>
    <xf numFmtId="0" fontId="41" fillId="0" borderId="6" xfId="22" applyNumberFormat="1" applyFont="1" applyFill="1" applyBorder="1" applyAlignment="1">
      <alignment horizontal="center" vertical="center" textRotation="255" wrapText="1"/>
    </xf>
    <xf numFmtId="0" fontId="41" fillId="0" borderId="5" xfId="22" applyNumberFormat="1" applyFont="1" applyFill="1" applyBorder="1" applyAlignment="1">
      <alignment horizontal="center" vertical="center" textRotation="255"/>
    </xf>
    <xf numFmtId="0" fontId="41" fillId="0" borderId="7" xfId="22" applyNumberFormat="1" applyFont="1" applyFill="1" applyBorder="1" applyAlignment="1">
      <alignment horizontal="center" vertical="center" textRotation="255"/>
    </xf>
    <xf numFmtId="0" fontId="41" fillId="0" borderId="6" xfId="22" applyNumberFormat="1" applyFont="1" applyFill="1" applyBorder="1" applyAlignment="1">
      <alignment horizontal="center" vertical="center" textRotation="255"/>
    </xf>
    <xf numFmtId="0" fontId="41" fillId="0" borderId="3" xfId="22" applyNumberFormat="1" applyFont="1" applyFill="1" applyBorder="1" applyAlignment="1">
      <alignment horizontal="center" vertical="center" textRotation="255" wrapText="1"/>
    </xf>
    <xf numFmtId="0" fontId="41" fillId="0" borderId="3" xfId="22" applyNumberFormat="1" applyFont="1" applyFill="1" applyBorder="1" applyAlignment="1">
      <alignment horizontal="center" vertical="center"/>
    </xf>
    <xf numFmtId="0" fontId="41" fillId="0" borderId="3" xfId="22" applyNumberFormat="1" applyFont="1" applyFill="1" applyBorder="1" applyAlignment="1">
      <alignment horizontal="center" vertical="center" wrapText="1" shrinkToFit="1"/>
    </xf>
    <xf numFmtId="0" fontId="41" fillId="0" borderId="6" xfId="22" applyNumberFormat="1" applyFont="1" applyFill="1" applyBorder="1" applyAlignment="1">
      <alignment horizontal="center" vertical="center"/>
    </xf>
    <xf numFmtId="0" fontId="41" fillId="0" borderId="5" xfId="22" applyNumberFormat="1" applyFont="1" applyFill="1" applyBorder="1" applyAlignment="1">
      <alignment horizontal="center" vertical="center" wrapText="1" shrinkToFit="1"/>
    </xf>
    <xf numFmtId="0" fontId="41" fillId="0" borderId="7" xfId="22" applyNumberFormat="1" applyFont="1" applyFill="1" applyBorder="1" applyAlignment="1">
      <alignment horizontal="center" vertical="center" wrapText="1" shrinkToFit="1"/>
    </xf>
    <xf numFmtId="0" fontId="41" fillId="0" borderId="6" xfId="22" applyNumberFormat="1" applyFont="1" applyFill="1" applyBorder="1" applyAlignment="1">
      <alignment horizontal="center" vertical="center" wrapText="1" shrinkToFit="1"/>
    </xf>
    <xf numFmtId="0" fontId="38" fillId="17" borderId="3" xfId="22" applyNumberFormat="1" applyFont="1" applyFill="1" applyBorder="1" applyAlignment="1">
      <alignment horizontal="distributed" vertical="center"/>
    </xf>
    <xf numFmtId="0" fontId="41" fillId="0" borderId="3" xfId="22" applyNumberFormat="1" applyFont="1" applyFill="1" applyBorder="1" applyAlignment="1">
      <alignment horizontal="center" vertical="center" wrapText="1"/>
    </xf>
    <xf numFmtId="0" fontId="41" fillId="13" borderId="3" xfId="22" applyNumberFormat="1" applyFont="1" applyFill="1" applyBorder="1" applyAlignment="1">
      <alignment horizontal="center" vertical="center"/>
    </xf>
    <xf numFmtId="0" fontId="41" fillId="14" borderId="3" xfId="22" applyNumberFormat="1" applyFont="1" applyFill="1" applyBorder="1" applyAlignment="1">
      <alignment horizontal="center" vertical="center"/>
    </xf>
    <xf numFmtId="0" fontId="41" fillId="0" borderId="3" xfId="22" applyNumberFormat="1" applyFont="1" applyFill="1" applyBorder="1" applyAlignment="1">
      <alignment horizontal="distributed" vertical="center" textRotation="255" wrapText="1"/>
    </xf>
    <xf numFmtId="0" fontId="41" fillId="0" borderId="3" xfId="22" applyNumberFormat="1" applyFont="1" applyFill="1" applyBorder="1" applyAlignment="1">
      <alignment horizontal="distributed" vertical="center" textRotation="255"/>
    </xf>
    <xf numFmtId="0" fontId="41" fillId="0" borderId="5" xfId="22" applyNumberFormat="1" applyFont="1" applyFill="1" applyBorder="1" applyAlignment="1">
      <alignment horizontal="center" vertical="center" wrapText="1"/>
    </xf>
    <xf numFmtId="0" fontId="41" fillId="0" borderId="7" xfId="22" applyNumberFormat="1" applyFont="1" applyFill="1" applyBorder="1" applyAlignment="1">
      <alignment horizontal="center" vertical="center" wrapText="1"/>
    </xf>
    <xf numFmtId="0" fontId="41" fillId="0" borderId="6" xfId="22" applyNumberFormat="1" applyFont="1" applyFill="1" applyBorder="1" applyAlignment="1">
      <alignment horizontal="center" vertical="center" wrapText="1"/>
    </xf>
    <xf numFmtId="0" fontId="41" fillId="13" borderId="3" xfId="22" applyNumberFormat="1" applyFont="1" applyFill="1" applyBorder="1" applyAlignment="1">
      <alignment horizontal="center" vertical="center" wrapText="1"/>
    </xf>
    <xf numFmtId="0" fontId="41" fillId="0" borderId="58" xfId="22" applyFont="1" applyFill="1" applyBorder="1" applyAlignment="1">
      <alignment horizontal="center" vertical="center" wrapText="1"/>
    </xf>
    <xf numFmtId="0" fontId="41" fillId="0" borderId="35" xfId="22" applyFont="1" applyFill="1" applyBorder="1" applyAlignment="1">
      <alignment horizontal="center" vertical="center" wrapText="1"/>
    </xf>
    <xf numFmtId="0" fontId="41" fillId="0" borderId="39" xfId="22" applyFont="1" applyFill="1" applyBorder="1" applyAlignment="1">
      <alignment horizontal="center" vertical="center" wrapText="1"/>
    </xf>
    <xf numFmtId="0" fontId="41" fillId="0" borderId="8" xfId="22" applyFont="1" applyFill="1" applyBorder="1" applyAlignment="1">
      <alignment horizontal="center" vertical="center" wrapText="1"/>
    </xf>
    <xf numFmtId="0" fontId="41" fillId="0" borderId="59" xfId="22" applyFont="1" applyFill="1" applyBorder="1" applyAlignment="1">
      <alignment horizontal="center" vertical="center" wrapText="1"/>
    </xf>
    <xf numFmtId="0" fontId="41" fillId="0" borderId="36" xfId="22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textRotation="255"/>
    </xf>
    <xf numFmtId="0" fontId="41" fillId="0" borderId="8" xfId="0" applyFont="1" applyBorder="1" applyAlignment="1">
      <alignment horizontal="center" vertical="center" textRotation="255"/>
    </xf>
    <xf numFmtId="0" fontId="41" fillId="0" borderId="59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177" fontId="42" fillId="0" borderId="5" xfId="22" applyNumberFormat="1" applyFont="1" applyFill="1" applyBorder="1" applyAlignment="1">
      <alignment horizontal="center" vertical="center"/>
    </xf>
    <xf numFmtId="177" fontId="42" fillId="0" borderId="7" xfId="22" applyNumberFormat="1" applyFont="1" applyFill="1" applyBorder="1" applyAlignment="1">
      <alignment horizontal="center" vertical="center"/>
    </xf>
    <xf numFmtId="177" fontId="42" fillId="0" borderId="6" xfId="22" applyNumberFormat="1" applyFont="1" applyFill="1" applyBorder="1" applyAlignment="1">
      <alignment horizontal="center" vertical="center"/>
    </xf>
    <xf numFmtId="0" fontId="42" fillId="0" borderId="5" xfId="22" applyFont="1" applyFill="1" applyBorder="1" applyAlignment="1">
      <alignment horizontal="center" vertical="center" wrapText="1"/>
    </xf>
    <xf numFmtId="0" fontId="42" fillId="0" borderId="7" xfId="22" applyFont="1" applyFill="1" applyBorder="1" applyAlignment="1">
      <alignment horizontal="center" vertical="center" wrapText="1"/>
    </xf>
    <xf numFmtId="0" fontId="42" fillId="0" borderId="6" xfId="22" applyFont="1" applyFill="1" applyBorder="1" applyAlignment="1">
      <alignment horizontal="center" vertical="center" wrapText="1"/>
    </xf>
    <xf numFmtId="0" fontId="44" fillId="0" borderId="5" xfId="22" applyNumberFormat="1" applyFont="1" applyFill="1" applyBorder="1" applyAlignment="1">
      <alignment horizontal="center" vertical="center" textRotation="255" wrapText="1"/>
    </xf>
    <xf numFmtId="0" fontId="44" fillId="0" borderId="7" xfId="22" applyNumberFormat="1" applyFont="1" applyFill="1" applyBorder="1" applyAlignment="1">
      <alignment horizontal="center" vertical="center" textRotation="255" wrapText="1"/>
    </xf>
    <xf numFmtId="0" fontId="41" fillId="0" borderId="64" xfId="22" applyFont="1" applyFill="1" applyBorder="1" applyAlignment="1">
      <alignment horizontal="center" vertical="center" wrapText="1"/>
    </xf>
    <xf numFmtId="0" fontId="41" fillId="0" borderId="37" xfId="22" applyFont="1" applyFill="1" applyBorder="1" applyAlignment="1">
      <alignment horizontal="center" vertical="center" wrapText="1"/>
    </xf>
    <xf numFmtId="177" fontId="38" fillId="13" borderId="3" xfId="22" applyNumberFormat="1" applyFont="1" applyFill="1" applyBorder="1" applyAlignment="1">
      <alignment horizontal="center" vertical="center"/>
    </xf>
    <xf numFmtId="0" fontId="42" fillId="0" borderId="3" xfId="22" applyFont="1" applyFill="1" applyBorder="1" applyAlignment="1">
      <alignment horizontal="center" vertical="center" wrapText="1"/>
    </xf>
    <xf numFmtId="0" fontId="41" fillId="0" borderId="3" xfId="22" applyFont="1" applyFill="1" applyBorder="1" applyAlignment="1">
      <alignment horizontal="center" vertical="center" wrapText="1"/>
    </xf>
    <xf numFmtId="0" fontId="38" fillId="14" borderId="64" xfId="22" applyFont="1" applyFill="1" applyBorder="1" applyAlignment="1">
      <alignment horizontal="center" vertical="center"/>
    </xf>
    <xf numFmtId="0" fontId="38" fillId="14" borderId="2" xfId="22" applyFont="1" applyFill="1" applyBorder="1" applyAlignment="1">
      <alignment horizontal="center" vertical="center"/>
    </xf>
    <xf numFmtId="0" fontId="38" fillId="14" borderId="37" xfId="22" applyFont="1" applyFill="1" applyBorder="1" applyAlignment="1">
      <alignment horizontal="center" vertical="center"/>
    </xf>
    <xf numFmtId="177" fontId="38" fillId="5" borderId="3" xfId="22" applyNumberFormat="1" applyFont="1" applyFill="1" applyBorder="1" applyAlignment="1">
      <alignment horizontal="center" vertical="center"/>
    </xf>
    <xf numFmtId="177" fontId="38" fillId="5" borderId="58" xfId="22" applyNumberFormat="1" applyFont="1" applyFill="1" applyBorder="1" applyAlignment="1">
      <alignment horizontal="center" vertical="center"/>
    </xf>
    <xf numFmtId="177" fontId="38" fillId="5" borderId="35" xfId="22" applyNumberFormat="1" applyFont="1" applyFill="1" applyBorder="1" applyAlignment="1">
      <alignment horizontal="center" vertical="center"/>
    </xf>
    <xf numFmtId="177" fontId="38" fillId="5" borderId="59" xfId="22" applyNumberFormat="1" applyFont="1" applyFill="1" applyBorder="1" applyAlignment="1">
      <alignment horizontal="center" vertical="center"/>
    </xf>
    <xf numFmtId="177" fontId="38" fillId="5" borderId="36" xfId="22" applyNumberFormat="1" applyFont="1" applyFill="1" applyBorder="1" applyAlignment="1">
      <alignment horizontal="center" vertical="center"/>
    </xf>
    <xf numFmtId="177" fontId="38" fillId="5" borderId="5" xfId="22" applyNumberFormat="1" applyFont="1" applyFill="1" applyBorder="1" applyAlignment="1">
      <alignment horizontal="center" vertical="center"/>
    </xf>
    <xf numFmtId="177" fontId="38" fillId="5" borderId="6" xfId="22" applyNumberFormat="1" applyFont="1" applyFill="1" applyBorder="1" applyAlignment="1">
      <alignment horizontal="center" vertical="center"/>
    </xf>
    <xf numFmtId="0" fontId="41" fillId="14" borderId="58" xfId="22" applyNumberFormat="1" applyFont="1" applyFill="1" applyBorder="1" applyAlignment="1">
      <alignment horizontal="center" vertical="center" wrapText="1"/>
    </xf>
    <xf numFmtId="0" fontId="41" fillId="14" borderId="57" xfId="22" applyNumberFormat="1" applyFont="1" applyFill="1" applyBorder="1" applyAlignment="1">
      <alignment horizontal="center" vertical="center" wrapText="1"/>
    </xf>
    <xf numFmtId="0" fontId="41" fillId="14" borderId="35" xfId="22" applyNumberFormat="1" applyFont="1" applyFill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50" fillId="16" borderId="73" xfId="0" applyFont="1" applyFill="1" applyBorder="1" applyAlignment="1">
      <alignment horizontal="center" vertical="center"/>
    </xf>
    <xf numFmtId="0" fontId="50" fillId="16" borderId="26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50" fillId="16" borderId="72" xfId="0" applyFont="1" applyFill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6" fillId="3" borderId="64" xfId="21" applyNumberFormat="1" applyFont="1" applyFill="1" applyBorder="1" applyAlignment="1">
      <alignment horizontal="distributed" vertical="center"/>
    </xf>
    <xf numFmtId="0" fontId="26" fillId="3" borderId="2" xfId="21" applyNumberFormat="1" applyFont="1" applyFill="1" applyBorder="1" applyAlignment="1">
      <alignment horizontal="distributed" vertical="center"/>
    </xf>
    <xf numFmtId="0" fontId="26" fillId="3" borderId="37" xfId="21" applyNumberFormat="1" applyFont="1" applyFill="1" applyBorder="1" applyAlignment="1">
      <alignment horizontal="distributed" vertical="center"/>
    </xf>
    <xf numFmtId="177" fontId="20" fillId="3" borderId="5" xfId="21" applyFont="1" applyFill="1" applyBorder="1" applyAlignment="1">
      <alignment horizontal="center" vertical="center"/>
    </xf>
    <xf numFmtId="177" fontId="20" fillId="3" borderId="6" xfId="21" applyFont="1" applyFill="1" applyBorder="1" applyAlignment="1">
      <alignment horizontal="center" vertical="center"/>
    </xf>
    <xf numFmtId="0" fontId="26" fillId="3" borderId="3" xfId="21" applyNumberFormat="1" applyFont="1" applyFill="1" applyBorder="1" applyAlignment="1">
      <alignment horizontal="distributed" vertical="center"/>
    </xf>
    <xf numFmtId="177" fontId="28" fillId="3" borderId="3" xfId="21" applyFont="1" applyFill="1" applyBorder="1" applyAlignment="1">
      <alignment horizontal="center" vertical="center"/>
    </xf>
    <xf numFmtId="49" fontId="22" fillId="0" borderId="6" xfId="21" applyNumberFormat="1" applyFont="1" applyBorder="1" applyAlignment="1">
      <alignment horizontal="distributed" vertical="top" shrinkToFit="1"/>
    </xf>
    <xf numFmtId="49" fontId="22" fillId="0" borderId="3" xfId="21" applyNumberFormat="1" applyFont="1" applyBorder="1" applyAlignment="1">
      <alignment horizontal="distributed" vertical="top" shrinkToFit="1"/>
    </xf>
    <xf numFmtId="0" fontId="22" fillId="0" borderId="7" xfId="21" applyNumberFormat="1" applyFont="1" applyBorder="1" applyAlignment="1">
      <alignment horizontal="center" vertical="top" shrinkToFit="1"/>
    </xf>
    <xf numFmtId="0" fontId="50" fillId="0" borderId="105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50" fillId="0" borderId="108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6" fillId="4" borderId="64" xfId="21" applyNumberFormat="1" applyFont="1" applyFill="1" applyBorder="1" applyAlignment="1">
      <alignment horizontal="center" vertical="center"/>
    </xf>
    <xf numFmtId="0" fontId="26" fillId="4" borderId="2" xfId="21" applyNumberFormat="1" applyFont="1" applyFill="1" applyBorder="1" applyAlignment="1">
      <alignment horizontal="center" vertical="center"/>
    </xf>
    <xf numFmtId="0" fontId="26" fillId="4" borderId="37" xfId="21" applyNumberFormat="1" applyFont="1" applyFill="1" applyBorder="1" applyAlignment="1">
      <alignment horizontal="center" vertical="center"/>
    </xf>
    <xf numFmtId="177" fontId="20" fillId="3" borderId="64" xfId="21" applyFont="1" applyFill="1" applyBorder="1" applyAlignment="1">
      <alignment horizontal="center" vertical="center"/>
    </xf>
    <xf numFmtId="177" fontId="20" fillId="3" borderId="2" xfId="21" applyFont="1" applyFill="1" applyBorder="1" applyAlignment="1">
      <alignment horizontal="center" vertical="center"/>
    </xf>
    <xf numFmtId="177" fontId="20" fillId="3" borderId="37" xfId="21" applyFont="1" applyFill="1" applyBorder="1" applyAlignment="1">
      <alignment horizontal="center" vertical="center"/>
    </xf>
    <xf numFmtId="177" fontId="20" fillId="3" borderId="5" xfId="21" applyFont="1" applyFill="1" applyBorder="1" applyAlignment="1">
      <alignment horizontal="center" vertical="center" wrapText="1"/>
    </xf>
    <xf numFmtId="177" fontId="20" fillId="3" borderId="6" xfId="2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177" fontId="54" fillId="0" borderId="0" xfId="21" applyFont="1" applyBorder="1" applyAlignment="1">
      <alignment horizontal="center" vertical="top" wrapText="1"/>
    </xf>
    <xf numFmtId="177" fontId="54" fillId="0" borderId="0" xfId="21" applyFont="1" applyBorder="1" applyAlignment="1">
      <alignment horizontal="center" vertical="top"/>
    </xf>
    <xf numFmtId="0" fontId="50" fillId="0" borderId="109" xfId="0" applyFont="1" applyBorder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 2" xfId="20"/>
    <cellStyle name="쉼표 [0]" xfId="21"/>
    <cellStyle name="쉼표 [0] 2" xfId="22"/>
    <cellStyle name="쉼표 [0] 3" xfId="23"/>
    <cellStyle name="쉼표 [0] 4" xfId="24"/>
    <cellStyle name="쉼표 [0]_2006년추경부속명세서" xfId="25"/>
    <cellStyle name="콤마 [0]_01실적" xfId="26"/>
    <cellStyle name="콤마_01실적" xfId="27"/>
    <cellStyle name="통화 [0]" xfId="28"/>
    <cellStyle name="표준 2" xfId="29"/>
    <cellStyle name="표준 3" xfId="30"/>
    <cellStyle name="category" xfId="31"/>
    <cellStyle name="Comma [0]_laroux" xfId="32"/>
    <cellStyle name="Comma_laroux" xfId="33"/>
    <cellStyle name="Currency [0]_laroux" xfId="34"/>
    <cellStyle name="Currency_laroux" xfId="35"/>
    <cellStyle name="Grey" xfId="36"/>
    <cellStyle name="HEADER" xfId="37"/>
    <cellStyle name="Header1" xfId="38"/>
    <cellStyle name="Header2" xfId="39"/>
    <cellStyle name="Input [yellow]" xfId="40"/>
    <cellStyle name="Model" xfId="41"/>
    <cellStyle name="Normal - Style1" xfId="42"/>
    <cellStyle name="Normal_Certs Q2" xfId="43"/>
    <cellStyle name="쉼표 [0] 5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0" Type="http://schemas.openxmlformats.org/officeDocument/2006/relationships/worksheet" Target="worksheets/sheet49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axId val="47074433"/>
        <c:axId val="21016714"/>
      </c:bar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16714"/>
        <c:crosses val="autoZero"/>
        <c:auto val="1"/>
        <c:lblOffset val="100"/>
        <c:noMultiLvlLbl val="0"/>
      </c:catAx>
      <c:valAx>
        <c:axId val="21016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74433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바탕체"/>
          <a:ea typeface="바탕체"/>
          <a:cs typeface="바탕체"/>
        </a:defRPr>
      </a:pPr>
    </a:p>
  </c:txPr>
  <c:lang xmlns:c="http://schemas.openxmlformats.org/drawingml/2006/chart" val="ko-KR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5600700"/>
    <xdr:graphicFrame macro="">
      <xdr:nvGraphicFramePr>
        <xdr:cNvPr id="2" name="차트 1"/>
        <xdr:cNvGraphicFramePr/>
      </xdr:nvGraphicFramePr>
      <xdr:xfrm>
        <a:off x="0" y="0"/>
        <a:ext cx="9191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2667000</xdr:colOff>
      <xdr:row>2</xdr:row>
      <xdr:rowOff>85725</xdr:rowOff>
    </xdr:from>
    <xdr:to>
      <xdr:col>5</xdr:col>
      <xdr:colOff>0</xdr:colOff>
      <xdr:row>2</xdr:row>
      <xdr:rowOff>333375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72500" y="704850"/>
          <a:ext cx="78105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2</xdr:row>
      <xdr:rowOff>104775</xdr:rowOff>
    </xdr:from>
    <xdr:to>
      <xdr:col>4</xdr:col>
      <xdr:colOff>3381375</xdr:colOff>
      <xdr:row>2</xdr:row>
      <xdr:rowOff>304800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162925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2552700</xdr:colOff>
      <xdr:row>2</xdr:row>
      <xdr:rowOff>85725</xdr:rowOff>
    </xdr:from>
    <xdr:to>
      <xdr:col>5</xdr:col>
      <xdr:colOff>0</xdr:colOff>
      <xdr:row>2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86775" y="704850"/>
          <a:ext cx="89535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2</xdr:row>
      <xdr:rowOff>104775</xdr:rowOff>
    </xdr:from>
    <xdr:to>
      <xdr:col>4</xdr:col>
      <xdr:colOff>3381375</xdr:colOff>
      <xdr:row>2</xdr:row>
      <xdr:rowOff>304800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162925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1419225</xdr:colOff>
      <xdr:row>2</xdr:row>
      <xdr:rowOff>228600</xdr:rowOff>
    </xdr:from>
    <xdr:to>
      <xdr:col>6</xdr:col>
      <xdr:colOff>1419225</xdr:colOff>
      <xdr:row>2</xdr:row>
      <xdr:rowOff>419100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44025" y="981075"/>
          <a:ext cx="0" cy="1905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1419225</xdr:colOff>
      <xdr:row>2</xdr:row>
      <xdr:rowOff>190500</xdr:rowOff>
    </xdr:from>
    <xdr:to>
      <xdr:col>6</xdr:col>
      <xdr:colOff>1419225</xdr:colOff>
      <xdr:row>2</xdr:row>
      <xdr:rowOff>466725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344025" y="942975"/>
          <a:ext cx="0" cy="2762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504825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38925" y="1181100"/>
          <a:ext cx="0" cy="7620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504825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38925" y="1181100"/>
          <a:ext cx="0" cy="7620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504825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38925" y="1181100"/>
          <a:ext cx="0" cy="7620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504825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638925" y="1181100"/>
          <a:ext cx="0" cy="7620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6</xdr:col>
      <xdr:colOff>476250</xdr:colOff>
      <xdr:row>2</xdr:row>
      <xdr:rowOff>142875</xdr:rowOff>
    </xdr:from>
    <xdr:to>
      <xdr:col>6</xdr:col>
      <xdr:colOff>1257300</xdr:colOff>
      <xdr:row>2</xdr:row>
      <xdr:rowOff>304800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401050" y="895350"/>
          <a:ext cx="781050" cy="1619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238125</xdr:rowOff>
    </xdr:from>
    <xdr:to>
      <xdr:col>6</xdr:col>
      <xdr:colOff>1466850</xdr:colOff>
      <xdr:row>2</xdr:row>
      <xdr:rowOff>466725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543925" y="933450"/>
          <a:ext cx="885825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3</xdr:col>
      <xdr:colOff>0</xdr:colOff>
      <xdr:row>2</xdr:row>
      <xdr:rowOff>428625</xdr:rowOff>
    </xdr:from>
    <xdr:to>
      <xdr:col>3</xdr:col>
      <xdr:colOff>0</xdr:colOff>
      <xdr:row>2</xdr:row>
      <xdr:rowOff>533400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638550" y="1123950"/>
          <a:ext cx="0" cy="104775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533400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00825" y="1123950"/>
          <a:ext cx="0" cy="104775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533400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600825" y="1123950"/>
          <a:ext cx="0" cy="104775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3</xdr:col>
      <xdr:colOff>0</xdr:colOff>
      <xdr:row>2</xdr:row>
      <xdr:rowOff>428625</xdr:rowOff>
    </xdr:from>
    <xdr:to>
      <xdr:col>3</xdr:col>
      <xdr:colOff>0</xdr:colOff>
      <xdr:row>2</xdr:row>
      <xdr:rowOff>533400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638550" y="1123950"/>
          <a:ext cx="0" cy="104775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533400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600825" y="1123950"/>
          <a:ext cx="0" cy="104775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428625</xdr:rowOff>
    </xdr:from>
    <xdr:to>
      <xdr:col>5</xdr:col>
      <xdr:colOff>0</xdr:colOff>
      <xdr:row>2</xdr:row>
      <xdr:rowOff>533400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600825" y="1123950"/>
          <a:ext cx="0" cy="104775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82050" y="704850"/>
          <a:ext cx="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2676525</xdr:colOff>
      <xdr:row>2</xdr:row>
      <xdr:rowOff>95250</xdr:rowOff>
    </xdr:from>
    <xdr:to>
      <xdr:col>4</xdr:col>
      <xdr:colOff>3381375</xdr:colOff>
      <xdr:row>2</xdr:row>
      <xdr:rowOff>333375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010525" y="714375"/>
          <a:ext cx="70485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2190750</xdr:colOff>
      <xdr:row>2</xdr:row>
      <xdr:rowOff>114300</xdr:rowOff>
    </xdr:from>
    <xdr:to>
      <xdr:col>4</xdr:col>
      <xdr:colOff>2990850</xdr:colOff>
      <xdr:row>2</xdr:row>
      <xdr:rowOff>276225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734300" y="742950"/>
          <a:ext cx="800100" cy="1619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96501" name="Line 1"/>
        <xdr:cNvSpPr>
          <a:spLocks noChangeShapeType="1"/>
        </xdr:cNvSpPr>
      </xdr:nvSpPr>
      <xdr:spPr bwMode="auto">
        <a:xfrm>
          <a:off x="353377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0</xdr:colOff>
      <xdr:row>2</xdr:row>
      <xdr:rowOff>361950</xdr:rowOff>
    </xdr:from>
    <xdr:to>
      <xdr:col>5</xdr:col>
      <xdr:colOff>0</xdr:colOff>
      <xdr:row>2</xdr:row>
      <xdr:rowOff>361950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48425" y="96202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96504" name="Line 1"/>
        <xdr:cNvSpPr>
          <a:spLocks noChangeShapeType="1"/>
        </xdr:cNvSpPr>
      </xdr:nvSpPr>
      <xdr:spPr bwMode="auto">
        <a:xfrm>
          <a:off x="353377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0</xdr:colOff>
      <xdr:row>2</xdr:row>
      <xdr:rowOff>361950</xdr:rowOff>
    </xdr:from>
    <xdr:to>
      <xdr:col>5</xdr:col>
      <xdr:colOff>0</xdr:colOff>
      <xdr:row>2</xdr:row>
      <xdr:rowOff>361950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448425" y="96202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53377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0</xdr:colOff>
      <xdr:row>2</xdr:row>
      <xdr:rowOff>361950</xdr:rowOff>
    </xdr:from>
    <xdr:to>
      <xdr:col>5</xdr:col>
      <xdr:colOff>0</xdr:colOff>
      <xdr:row>2</xdr:row>
      <xdr:rowOff>361950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448425" y="96202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53377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0</xdr:colOff>
      <xdr:row>2</xdr:row>
      <xdr:rowOff>361950</xdr:rowOff>
    </xdr:from>
    <xdr:to>
      <xdr:col>5</xdr:col>
      <xdr:colOff>0</xdr:colOff>
      <xdr:row>2</xdr:row>
      <xdr:rowOff>361950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448425" y="96202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6</xdr:col>
      <xdr:colOff>1400175</xdr:colOff>
      <xdr:row>2</xdr:row>
      <xdr:rowOff>209550</xdr:rowOff>
    </xdr:from>
    <xdr:to>
      <xdr:col>6</xdr:col>
      <xdr:colOff>1400175</xdr:colOff>
      <xdr:row>2</xdr:row>
      <xdr:rowOff>361950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344025" y="809625"/>
          <a:ext cx="0" cy="1524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476250</xdr:colOff>
      <xdr:row>2</xdr:row>
      <xdr:rowOff>142875</xdr:rowOff>
    </xdr:from>
    <xdr:to>
      <xdr:col>6</xdr:col>
      <xdr:colOff>1257300</xdr:colOff>
      <xdr:row>2</xdr:row>
      <xdr:rowOff>304800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420100" y="742950"/>
          <a:ext cx="781050" cy="1619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419100</xdr:rowOff>
    </xdr:from>
    <xdr:to>
      <xdr:col>3</xdr:col>
      <xdr:colOff>0</xdr:colOff>
      <xdr:row>2</xdr:row>
      <xdr:rowOff>419100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24225" y="117157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419100</xdr:rowOff>
    </xdr:from>
    <xdr:to>
      <xdr:col>5</xdr:col>
      <xdr:colOff>0</xdr:colOff>
      <xdr:row>2</xdr:row>
      <xdr:rowOff>419100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38900" y="117157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419100</xdr:rowOff>
    </xdr:from>
    <xdr:to>
      <xdr:col>5</xdr:col>
      <xdr:colOff>0</xdr:colOff>
      <xdr:row>2</xdr:row>
      <xdr:rowOff>419100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438900" y="117157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3</xdr:col>
      <xdr:colOff>0</xdr:colOff>
      <xdr:row>2</xdr:row>
      <xdr:rowOff>419100</xdr:rowOff>
    </xdr:from>
    <xdr:to>
      <xdr:col>3</xdr:col>
      <xdr:colOff>0</xdr:colOff>
      <xdr:row>2</xdr:row>
      <xdr:rowOff>419100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24225" y="117157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419100</xdr:rowOff>
    </xdr:from>
    <xdr:to>
      <xdr:col>5</xdr:col>
      <xdr:colOff>0</xdr:colOff>
      <xdr:row>2</xdr:row>
      <xdr:rowOff>419100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438900" y="117157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5</xdr:col>
      <xdr:colOff>0</xdr:colOff>
      <xdr:row>2</xdr:row>
      <xdr:rowOff>419100</xdr:rowOff>
    </xdr:from>
    <xdr:to>
      <xdr:col>5</xdr:col>
      <xdr:colOff>0</xdr:colOff>
      <xdr:row>2</xdr:row>
      <xdr:rowOff>419100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438900" y="1171575"/>
          <a:ext cx="0" cy="0"/>
        </a:xfrm>
        <a:prstGeom prst="rect">
          <a:avLst/>
        </a:prstGeom>
        <a:solidFill>
          <a:srgbClr val="FFFF99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바탕체"/>
              <a:ea typeface="바탕체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xdr:txBody>
    </xdr:sp>
    <xdr:clientData/>
  </xdr:twoCellAnchor>
  <xdr:twoCellAnchor>
    <xdr:from>
      <xdr:col>6</xdr:col>
      <xdr:colOff>1409700</xdr:colOff>
      <xdr:row>2</xdr:row>
      <xdr:rowOff>257175</xdr:rowOff>
    </xdr:from>
    <xdr:to>
      <xdr:col>6</xdr:col>
      <xdr:colOff>1409700</xdr:colOff>
      <xdr:row>2</xdr:row>
      <xdr:rowOff>419100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344025" y="1009650"/>
          <a:ext cx="0" cy="1619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1409700</xdr:colOff>
      <xdr:row>2</xdr:row>
      <xdr:rowOff>257175</xdr:rowOff>
    </xdr:from>
    <xdr:to>
      <xdr:col>6</xdr:col>
      <xdr:colOff>1409700</xdr:colOff>
      <xdr:row>2</xdr:row>
      <xdr:rowOff>419100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344025" y="1009650"/>
          <a:ext cx="0" cy="1619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428625</xdr:colOff>
      <xdr:row>2</xdr:row>
      <xdr:rowOff>190500</xdr:rowOff>
    </xdr:from>
    <xdr:to>
      <xdr:col>6</xdr:col>
      <xdr:colOff>1209675</xdr:colOff>
      <xdr:row>2</xdr:row>
      <xdr:rowOff>371475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8362950" y="942975"/>
          <a:ext cx="781050" cy="1809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1647825</xdr:colOff>
      <xdr:row>4</xdr:row>
      <xdr:rowOff>0</xdr:rowOff>
    </xdr:from>
    <xdr:to>
      <xdr:col>6</xdr:col>
      <xdr:colOff>2457450</xdr:colOff>
      <xdr:row>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620125" y="1371600"/>
          <a:ext cx="809625" cy="0"/>
        </a:xfrm>
        <a:prstGeom prst="rect">
          <a:avLst/>
        </a:prstGeom>
        <a:solidFill>
          <a:srgbClr val="FFFF00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1638300</xdr:colOff>
      <xdr:row>2</xdr:row>
      <xdr:rowOff>209550</xdr:rowOff>
    </xdr:from>
    <xdr:to>
      <xdr:col>6</xdr:col>
      <xdr:colOff>2447925</xdr:colOff>
      <xdr:row>2</xdr:row>
      <xdr:rowOff>438150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610600" y="904875"/>
          <a:ext cx="809625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1638300</xdr:colOff>
      <xdr:row>2</xdr:row>
      <xdr:rowOff>209550</xdr:rowOff>
    </xdr:from>
    <xdr:to>
      <xdr:col>6</xdr:col>
      <xdr:colOff>2447925</xdr:colOff>
      <xdr:row>2</xdr:row>
      <xdr:rowOff>438150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610600" y="904875"/>
          <a:ext cx="809625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1638300</xdr:colOff>
      <xdr:row>2</xdr:row>
      <xdr:rowOff>209550</xdr:rowOff>
    </xdr:from>
    <xdr:to>
      <xdr:col>6</xdr:col>
      <xdr:colOff>2447925</xdr:colOff>
      <xdr:row>2</xdr:row>
      <xdr:rowOff>438150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610600" y="904875"/>
          <a:ext cx="809625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1638300</xdr:colOff>
      <xdr:row>2</xdr:row>
      <xdr:rowOff>209550</xdr:rowOff>
    </xdr:from>
    <xdr:to>
      <xdr:col>6</xdr:col>
      <xdr:colOff>2447925</xdr:colOff>
      <xdr:row>2</xdr:row>
      <xdr:rowOff>438150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10600" y="904875"/>
          <a:ext cx="809625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352425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0" y="914400"/>
          <a:ext cx="0" cy="571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352425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763250" y="914400"/>
          <a:ext cx="0" cy="571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209550</xdr:rowOff>
    </xdr:from>
    <xdr:to>
      <xdr:col>6</xdr:col>
      <xdr:colOff>704850</xdr:colOff>
      <xdr:row>2</xdr:row>
      <xdr:rowOff>352425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763250" y="828675"/>
          <a:ext cx="0" cy="1428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2552700</xdr:colOff>
      <xdr:row>2</xdr:row>
      <xdr:rowOff>85725</xdr:rowOff>
    </xdr:from>
    <xdr:to>
      <xdr:col>5</xdr:col>
      <xdr:colOff>0</xdr:colOff>
      <xdr:row>2</xdr:row>
      <xdr:rowOff>333375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458200" y="704850"/>
          <a:ext cx="89535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352425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0763250" y="914400"/>
          <a:ext cx="0" cy="571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352425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0763250" y="914400"/>
          <a:ext cx="0" cy="571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209550</xdr:rowOff>
    </xdr:from>
    <xdr:to>
      <xdr:col>6</xdr:col>
      <xdr:colOff>704850</xdr:colOff>
      <xdr:row>2</xdr:row>
      <xdr:rowOff>352425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763250" y="828675"/>
          <a:ext cx="0" cy="1428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2552700</xdr:colOff>
      <xdr:row>2</xdr:row>
      <xdr:rowOff>85725</xdr:rowOff>
    </xdr:from>
    <xdr:to>
      <xdr:col>5</xdr:col>
      <xdr:colOff>0</xdr:colOff>
      <xdr:row>2</xdr:row>
      <xdr:rowOff>333375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458200" y="704850"/>
          <a:ext cx="89535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323850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72800" y="838200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323850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972800" y="838200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323850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972800" y="838200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2581275</xdr:colOff>
      <xdr:row>2</xdr:row>
      <xdr:rowOff>104775</xdr:rowOff>
    </xdr:from>
    <xdr:to>
      <xdr:col>4</xdr:col>
      <xdr:colOff>3381375</xdr:colOff>
      <xdr:row>2</xdr:row>
      <xdr:rowOff>304800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162925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323850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972800" y="838200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323850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972800" y="838200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323850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972800" y="838200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2581275</xdr:colOff>
      <xdr:row>2</xdr:row>
      <xdr:rowOff>104775</xdr:rowOff>
    </xdr:from>
    <xdr:to>
      <xdr:col>4</xdr:col>
      <xdr:colOff>3381375</xdr:colOff>
      <xdr:row>2</xdr:row>
      <xdr:rowOff>304800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162925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2</xdr:row>
      <xdr:rowOff>209550</xdr:rowOff>
    </xdr:from>
    <xdr:to>
      <xdr:col>6</xdr:col>
      <xdr:colOff>1143000</xdr:colOff>
      <xdr:row>2</xdr:row>
      <xdr:rowOff>381000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305925" y="904875"/>
          <a:ext cx="0" cy="1714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276225</xdr:colOff>
      <xdr:row>2</xdr:row>
      <xdr:rowOff>209550</xdr:rowOff>
    </xdr:from>
    <xdr:to>
      <xdr:col>6</xdr:col>
      <xdr:colOff>1057275</xdr:colOff>
      <xdr:row>2</xdr:row>
      <xdr:rowOff>381000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39150" y="904875"/>
          <a:ext cx="781050" cy="1714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1143000</xdr:colOff>
      <xdr:row>2</xdr:row>
      <xdr:rowOff>209550</xdr:rowOff>
    </xdr:from>
    <xdr:to>
      <xdr:col>6</xdr:col>
      <xdr:colOff>1143000</xdr:colOff>
      <xdr:row>2</xdr:row>
      <xdr:rowOff>381000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9305925" y="904875"/>
          <a:ext cx="0" cy="1714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276225</xdr:colOff>
      <xdr:row>2</xdr:row>
      <xdr:rowOff>209550</xdr:rowOff>
    </xdr:from>
    <xdr:to>
      <xdr:col>6</xdr:col>
      <xdr:colOff>1057275</xdr:colOff>
      <xdr:row>2</xdr:row>
      <xdr:rowOff>381000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439150" y="904875"/>
          <a:ext cx="781050" cy="1714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1409700</xdr:colOff>
      <xdr:row>2</xdr:row>
      <xdr:rowOff>257175</xdr:rowOff>
    </xdr:from>
    <xdr:to>
      <xdr:col>6</xdr:col>
      <xdr:colOff>1409700</xdr:colOff>
      <xdr:row>2</xdr:row>
      <xdr:rowOff>323850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44025" y="847725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438150</xdr:colOff>
      <xdr:row>2</xdr:row>
      <xdr:rowOff>114300</xdr:rowOff>
    </xdr:from>
    <xdr:to>
      <xdr:col>6</xdr:col>
      <xdr:colOff>1219200</xdr:colOff>
      <xdr:row>2</xdr:row>
      <xdr:rowOff>295275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72475" y="704850"/>
          <a:ext cx="781050" cy="1809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1409700</xdr:colOff>
      <xdr:row>2</xdr:row>
      <xdr:rowOff>257175</xdr:rowOff>
    </xdr:from>
    <xdr:to>
      <xdr:col>6</xdr:col>
      <xdr:colOff>1409700</xdr:colOff>
      <xdr:row>2</xdr:row>
      <xdr:rowOff>323850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344025" y="847725"/>
          <a:ext cx="0" cy="666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438150</xdr:colOff>
      <xdr:row>2</xdr:row>
      <xdr:rowOff>114300</xdr:rowOff>
    </xdr:from>
    <xdr:to>
      <xdr:col>6</xdr:col>
      <xdr:colOff>1219200</xdr:colOff>
      <xdr:row>2</xdr:row>
      <xdr:rowOff>295275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372475" y="704850"/>
          <a:ext cx="781050" cy="1809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323850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763250" y="876300"/>
          <a:ext cx="0" cy="285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323850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0" y="876300"/>
          <a:ext cx="0" cy="285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209550</xdr:rowOff>
    </xdr:from>
    <xdr:to>
      <xdr:col>6</xdr:col>
      <xdr:colOff>704850</xdr:colOff>
      <xdr:row>2</xdr:row>
      <xdr:rowOff>323850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763250" y="790575"/>
          <a:ext cx="0" cy="1143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2552700</xdr:colOff>
      <xdr:row>2</xdr:row>
      <xdr:rowOff>85725</xdr:rowOff>
    </xdr:from>
    <xdr:to>
      <xdr:col>5</xdr:col>
      <xdr:colOff>0</xdr:colOff>
      <xdr:row>2</xdr:row>
      <xdr:rowOff>323850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458200" y="666750"/>
          <a:ext cx="89535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323850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0763250" y="876300"/>
          <a:ext cx="0" cy="285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295275</xdr:rowOff>
    </xdr:from>
    <xdr:to>
      <xdr:col>6</xdr:col>
      <xdr:colOff>704850</xdr:colOff>
      <xdr:row>2</xdr:row>
      <xdr:rowOff>323850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763250" y="876300"/>
          <a:ext cx="0" cy="285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704850</xdr:colOff>
      <xdr:row>2</xdr:row>
      <xdr:rowOff>209550</xdr:rowOff>
    </xdr:from>
    <xdr:to>
      <xdr:col>6</xdr:col>
      <xdr:colOff>704850</xdr:colOff>
      <xdr:row>2</xdr:row>
      <xdr:rowOff>323850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0763250" y="790575"/>
          <a:ext cx="0" cy="1143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2552700</xdr:colOff>
      <xdr:row>2</xdr:row>
      <xdr:rowOff>85725</xdr:rowOff>
    </xdr:from>
    <xdr:to>
      <xdr:col>5</xdr:col>
      <xdr:colOff>0</xdr:colOff>
      <xdr:row>2</xdr:row>
      <xdr:rowOff>323850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458200" y="666750"/>
          <a:ext cx="89535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342900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72800" y="1047750"/>
          <a:ext cx="0" cy="857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342900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972800" y="1047750"/>
          <a:ext cx="0" cy="857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342900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972800" y="1047750"/>
          <a:ext cx="0" cy="857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2581275</xdr:colOff>
      <xdr:row>2</xdr:row>
      <xdr:rowOff>104775</xdr:rowOff>
    </xdr:from>
    <xdr:to>
      <xdr:col>4</xdr:col>
      <xdr:colOff>3381375</xdr:colOff>
      <xdr:row>2</xdr:row>
      <xdr:rowOff>304800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162925" y="89535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342900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972800" y="1047750"/>
          <a:ext cx="0" cy="857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궁서체" pitchFamily="17" charset="-127"/>
              <a:ea typeface="궁서체" pitchFamily="17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342900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972800" y="1047750"/>
          <a:ext cx="0" cy="857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685800</xdr:colOff>
      <xdr:row>2</xdr:row>
      <xdr:rowOff>257175</xdr:rowOff>
    </xdr:from>
    <xdr:to>
      <xdr:col>6</xdr:col>
      <xdr:colOff>685800</xdr:colOff>
      <xdr:row>2</xdr:row>
      <xdr:rowOff>342900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972800" y="1047750"/>
          <a:ext cx="0" cy="857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2581275</xdr:colOff>
      <xdr:row>2</xdr:row>
      <xdr:rowOff>104775</xdr:rowOff>
    </xdr:from>
    <xdr:to>
      <xdr:col>4</xdr:col>
      <xdr:colOff>3381375</xdr:colOff>
      <xdr:row>2</xdr:row>
      <xdr:rowOff>304800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162925" y="89535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50</xdr:row>
      <xdr:rowOff>285750</xdr:rowOff>
    </xdr:from>
    <xdr:ext cx="180975" cy="285750"/>
    <xdr:sp macro="" textlink="">
      <xdr:nvSpPr>
        <xdr:cNvPr id="2" name="TextBox 1"/>
        <xdr:cNvSpPr txBox="1"/>
      </xdr:nvSpPr>
      <xdr:spPr>
        <a:xfrm>
          <a:off x="4657725" y="122205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>
    <xdr:from>
      <xdr:col>6</xdr:col>
      <xdr:colOff>1743075</xdr:colOff>
      <xdr:row>2</xdr:row>
      <xdr:rowOff>257175</xdr:rowOff>
    </xdr:from>
    <xdr:to>
      <xdr:col>6</xdr:col>
      <xdr:colOff>2505075</xdr:colOff>
      <xdr:row>2</xdr:row>
      <xdr:rowOff>476250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86800" y="1009650"/>
          <a:ext cx="762000" cy="2190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1743075</xdr:colOff>
      <xdr:row>2</xdr:row>
      <xdr:rowOff>257175</xdr:rowOff>
    </xdr:from>
    <xdr:to>
      <xdr:col>6</xdr:col>
      <xdr:colOff>2505075</xdr:colOff>
      <xdr:row>2</xdr:row>
      <xdr:rowOff>476250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686800" y="1009650"/>
          <a:ext cx="762000" cy="2190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1743075</xdr:colOff>
      <xdr:row>2</xdr:row>
      <xdr:rowOff>257175</xdr:rowOff>
    </xdr:from>
    <xdr:to>
      <xdr:col>6</xdr:col>
      <xdr:colOff>2505075</xdr:colOff>
      <xdr:row>2</xdr:row>
      <xdr:rowOff>476250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686800" y="1009650"/>
          <a:ext cx="762000" cy="2190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2</xdr:row>
      <xdr:rowOff>95250</xdr:rowOff>
    </xdr:from>
    <xdr:to>
      <xdr:col>4</xdr:col>
      <xdr:colOff>1552575</xdr:colOff>
      <xdr:row>2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05825" y="714375"/>
          <a:ext cx="76200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790575</xdr:colOff>
      <xdr:row>2</xdr:row>
      <xdr:rowOff>95250</xdr:rowOff>
    </xdr:from>
    <xdr:to>
      <xdr:col>4</xdr:col>
      <xdr:colOff>1552575</xdr:colOff>
      <xdr:row>2</xdr:row>
      <xdr:rowOff>333375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05825" y="714375"/>
          <a:ext cx="76200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790575</xdr:colOff>
      <xdr:row>2</xdr:row>
      <xdr:rowOff>95250</xdr:rowOff>
    </xdr:from>
    <xdr:to>
      <xdr:col>4</xdr:col>
      <xdr:colOff>1552575</xdr:colOff>
      <xdr:row>2</xdr:row>
      <xdr:rowOff>333375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05825" y="714375"/>
          <a:ext cx="76200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2</xdr:row>
      <xdr:rowOff>85725</xdr:rowOff>
    </xdr:from>
    <xdr:to>
      <xdr:col>4</xdr:col>
      <xdr:colOff>1743075</xdr:colOff>
      <xdr:row>2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82000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942975</xdr:colOff>
      <xdr:row>2</xdr:row>
      <xdr:rowOff>85725</xdr:rowOff>
    </xdr:from>
    <xdr:to>
      <xdr:col>4</xdr:col>
      <xdr:colOff>1743075</xdr:colOff>
      <xdr:row>2</xdr:row>
      <xdr:rowOff>285750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82000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4</xdr:col>
      <xdr:colOff>942975</xdr:colOff>
      <xdr:row>2</xdr:row>
      <xdr:rowOff>85725</xdr:rowOff>
    </xdr:from>
    <xdr:to>
      <xdr:col>4</xdr:col>
      <xdr:colOff>1743075</xdr:colOff>
      <xdr:row>2</xdr:row>
      <xdr:rowOff>285750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82000" y="68580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1400175</xdr:colOff>
      <xdr:row>2</xdr:row>
      <xdr:rowOff>209550</xdr:rowOff>
    </xdr:from>
    <xdr:to>
      <xdr:col>6</xdr:col>
      <xdr:colOff>1400175</xdr:colOff>
      <xdr:row>2</xdr:row>
      <xdr:rowOff>438150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725150" y="904875"/>
          <a:ext cx="0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657225</xdr:colOff>
      <xdr:row>2</xdr:row>
      <xdr:rowOff>171450</xdr:rowOff>
    </xdr:from>
    <xdr:to>
      <xdr:col>6</xdr:col>
      <xdr:colOff>1371600</xdr:colOff>
      <xdr:row>2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982200" y="866775"/>
          <a:ext cx="714375" cy="2571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1409700</xdr:colOff>
      <xdr:row>2</xdr:row>
      <xdr:rowOff>257175</xdr:rowOff>
    </xdr:from>
    <xdr:to>
      <xdr:col>6</xdr:col>
      <xdr:colOff>1409700</xdr:colOff>
      <xdr:row>2</xdr:row>
      <xdr:rowOff>361950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25150" y="895350"/>
          <a:ext cx="0" cy="1047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533400</xdr:colOff>
      <xdr:row>2</xdr:row>
      <xdr:rowOff>161925</xdr:rowOff>
    </xdr:from>
    <xdr:to>
      <xdr:col>6</xdr:col>
      <xdr:colOff>1314450</xdr:colOff>
      <xdr:row>2</xdr:row>
      <xdr:rowOff>342900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848850" y="800100"/>
          <a:ext cx="781050" cy="1809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2</xdr:row>
      <xdr:rowOff>209550</xdr:rowOff>
    </xdr:from>
    <xdr:to>
      <xdr:col>6</xdr:col>
      <xdr:colOff>1143000</xdr:colOff>
      <xdr:row>2</xdr:row>
      <xdr:rowOff>438150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553700" y="904875"/>
          <a:ext cx="0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276225</xdr:colOff>
      <xdr:row>2</xdr:row>
      <xdr:rowOff>209550</xdr:rowOff>
    </xdr:from>
    <xdr:to>
      <xdr:col>6</xdr:col>
      <xdr:colOff>1057275</xdr:colOff>
      <xdr:row>2</xdr:row>
      <xdr:rowOff>457200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686925" y="904875"/>
          <a:ext cx="78105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1409700</xdr:colOff>
      <xdr:row>2</xdr:row>
      <xdr:rowOff>257175</xdr:rowOff>
    </xdr:from>
    <xdr:to>
      <xdr:col>6</xdr:col>
      <xdr:colOff>1409700</xdr:colOff>
      <xdr:row>2</xdr:row>
      <xdr:rowOff>476250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610850" y="1009650"/>
          <a:ext cx="0" cy="2190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  <xdr:twoCellAnchor>
    <xdr:from>
      <xdr:col>6</xdr:col>
      <xdr:colOff>466725</xdr:colOff>
      <xdr:row>2</xdr:row>
      <xdr:rowOff>238125</xdr:rowOff>
    </xdr:from>
    <xdr:to>
      <xdr:col>6</xdr:col>
      <xdr:colOff>1247775</xdr:colOff>
      <xdr:row>2</xdr:row>
      <xdr:rowOff>485775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667875" y="990600"/>
          <a:ext cx="781050" cy="24765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2"/>
  <sheetViews>
    <sheetView workbookViewId="0" topLeftCell="A1">
      <selection activeCell="E4" sqref="E4"/>
    </sheetView>
  </sheetViews>
  <sheetFormatPr defaultColWidth="9.00390625" defaultRowHeight="14.25"/>
  <cols>
    <col min="1" max="11" width="9.00390625" style="4" customWidth="1"/>
    <col min="12" max="12" width="7.50390625" style="4" customWidth="1"/>
    <col min="13" max="13" width="8.875" style="4" customWidth="1"/>
    <col min="14" max="15" width="9.00390625" style="4" customWidth="1"/>
    <col min="16" max="16" width="4.75390625" style="4" customWidth="1"/>
    <col min="17" max="16384" width="9.00390625" style="4" customWidth="1"/>
  </cols>
  <sheetData>
    <row r="2" ht="10.5" customHeight="1"/>
    <row r="3" ht="19.5" customHeight="1"/>
    <row r="4" spans="12:13" ht="24.75" customHeight="1">
      <c r="L4" s="983"/>
      <c r="M4" s="984"/>
    </row>
    <row r="5" spans="12:13" ht="29.25" customHeight="1">
      <c r="L5" s="985"/>
      <c r="M5" s="986"/>
    </row>
    <row r="6" ht="22.5" customHeight="1"/>
    <row r="8" spans="1:13" ht="48" customHeight="1">
      <c r="A8" s="981" t="s">
        <v>1653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</row>
    <row r="20" spans="1:13" ht="30.75" customHeight="1">
      <c r="A20" s="982" t="s">
        <v>310</v>
      </c>
      <c r="B20" s="982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</row>
    <row r="21" spans="1:13" ht="31.5">
      <c r="A21" s="982" t="s">
        <v>311</v>
      </c>
      <c r="B21" s="982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</row>
    <row r="22" spans="1:13" ht="31.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4" ht="25.5" customHeight="1"/>
  </sheetData>
  <mergeCells count="4">
    <mergeCell ref="A8:M8"/>
    <mergeCell ref="A20:M20"/>
    <mergeCell ref="A21:M21"/>
    <mergeCell ref="L4:M5"/>
  </mergeCells>
  <printOptions horizontalCentered="1"/>
  <pageMargins left="0.7480314960629921" right="0.7480314960629921" top="0.9055118110236221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F18" sqref="F18"/>
    </sheetView>
  </sheetViews>
  <sheetFormatPr defaultColWidth="9.00390625" defaultRowHeight="14.25"/>
  <cols>
    <col min="2" max="2" width="10.375" style="0" customWidth="1"/>
    <col min="3" max="3" width="10.25390625" style="0" customWidth="1"/>
    <col min="4" max="4" width="14.00390625" style="0" customWidth="1"/>
    <col min="5" max="5" width="11.75390625" style="0" customWidth="1"/>
    <col min="6" max="6" width="22.125" style="0" customWidth="1"/>
    <col min="7" max="7" width="19.125" style="0" customWidth="1"/>
    <col min="8" max="8" width="17.625" style="0" customWidth="1"/>
  </cols>
  <sheetData>
    <row r="1" spans="1:8" s="561" customFormat="1" ht="33.75" customHeight="1">
      <c r="A1" s="1013" t="s">
        <v>984</v>
      </c>
      <c r="B1" s="1013"/>
      <c r="C1" s="1013"/>
      <c r="D1" s="1013"/>
      <c r="E1" s="1013"/>
      <c r="F1" s="1013"/>
      <c r="G1" s="1013"/>
      <c r="H1" s="1013"/>
    </row>
    <row r="2" spans="1:8" s="3" customFormat="1" ht="19.5" customHeight="1" thickBot="1">
      <c r="A2" s="275"/>
      <c r="B2" s="275"/>
      <c r="C2" s="275"/>
      <c r="D2" s="275"/>
      <c r="E2" s="275"/>
      <c r="F2" s="275"/>
      <c r="G2" s="275"/>
      <c r="H2" s="276" t="s">
        <v>985</v>
      </c>
    </row>
    <row r="3" spans="1:8" s="163" customFormat="1" ht="36.75" customHeight="1" thickBot="1">
      <c r="A3" s="543" t="s">
        <v>986</v>
      </c>
      <c r="B3" s="544" t="s">
        <v>987</v>
      </c>
      <c r="C3" s="1014" t="s">
        <v>988</v>
      </c>
      <c r="D3" s="1014"/>
      <c r="E3" s="544" t="s">
        <v>989</v>
      </c>
      <c r="F3" s="544" t="s">
        <v>990</v>
      </c>
      <c r="G3" s="544" t="s">
        <v>991</v>
      </c>
      <c r="H3" s="545" t="s">
        <v>992</v>
      </c>
    </row>
    <row r="4" spans="1:8" s="163" customFormat="1" ht="24.95" customHeight="1" thickTop="1">
      <c r="A4" s="1015" t="s">
        <v>993</v>
      </c>
      <c r="B4" s="1017" t="s">
        <v>994</v>
      </c>
      <c r="C4" s="1020" t="s">
        <v>995</v>
      </c>
      <c r="D4" s="1021"/>
      <c r="E4" s="546">
        <v>1</v>
      </c>
      <c r="F4" s="547">
        <v>72000000</v>
      </c>
      <c r="G4" s="547">
        <f>F4/E4</f>
        <v>72000000</v>
      </c>
      <c r="H4" s="548"/>
    </row>
    <row r="5" spans="1:8" s="163" customFormat="1" ht="24.95" customHeight="1">
      <c r="A5" s="1016"/>
      <c r="B5" s="1018"/>
      <c r="C5" s="1022" t="s">
        <v>996</v>
      </c>
      <c r="D5" s="1023"/>
      <c r="E5" s="546">
        <v>3</v>
      </c>
      <c r="F5" s="547">
        <v>90000000</v>
      </c>
      <c r="G5" s="547">
        <f>F5/E5</f>
        <v>30000000</v>
      </c>
      <c r="H5" s="548"/>
    </row>
    <row r="6" spans="1:8" s="163" customFormat="1" ht="24.95" customHeight="1">
      <c r="A6" s="1016"/>
      <c r="B6" s="1018"/>
      <c r="C6" s="1023" t="s">
        <v>997</v>
      </c>
      <c r="D6" s="549" t="s">
        <v>998</v>
      </c>
      <c r="E6" s="549">
        <v>3</v>
      </c>
      <c r="F6" s="550">
        <v>85000000</v>
      </c>
      <c r="G6" s="550">
        <f>F6/E6</f>
        <v>28333333</v>
      </c>
      <c r="H6" s="551"/>
    </row>
    <row r="7" spans="1:8" s="163" customFormat="1" ht="24.95" customHeight="1">
      <c r="A7" s="1016"/>
      <c r="B7" s="1018"/>
      <c r="C7" s="1023"/>
      <c r="D7" s="549" t="s">
        <v>999</v>
      </c>
      <c r="E7" s="549"/>
      <c r="F7" s="550">
        <v>25576000</v>
      </c>
      <c r="G7" s="550"/>
      <c r="H7" s="551"/>
    </row>
    <row r="8" spans="1:8" s="163" customFormat="1" ht="24.95" customHeight="1">
      <c r="A8" s="1016"/>
      <c r="B8" s="1018"/>
      <c r="C8" s="552" t="s">
        <v>1000</v>
      </c>
      <c r="D8" s="549" t="s">
        <v>1001</v>
      </c>
      <c r="E8" s="549"/>
      <c r="F8" s="550">
        <v>16359000</v>
      </c>
      <c r="G8" s="550"/>
      <c r="H8" s="551"/>
    </row>
    <row r="9" spans="1:8" s="163" customFormat="1" ht="24.95" customHeight="1">
      <c r="A9" s="1016"/>
      <c r="B9" s="1018"/>
      <c r="C9" s="1024" t="s">
        <v>1002</v>
      </c>
      <c r="D9" s="552" t="s">
        <v>1003</v>
      </c>
      <c r="E9" s="549"/>
      <c r="F9" s="550">
        <v>2815000</v>
      </c>
      <c r="G9" s="550"/>
      <c r="H9" s="551"/>
    </row>
    <row r="10" spans="1:8" s="163" customFormat="1" ht="24.95" customHeight="1">
      <c r="A10" s="1016"/>
      <c r="B10" s="1018"/>
      <c r="C10" s="1019"/>
      <c r="D10" s="552" t="s">
        <v>1004</v>
      </c>
      <c r="E10" s="549"/>
      <c r="F10" s="550">
        <v>250000</v>
      </c>
      <c r="G10" s="550"/>
      <c r="H10" s="551"/>
    </row>
    <row r="11" spans="1:8" s="163" customFormat="1" ht="24.95" customHeight="1">
      <c r="A11" s="1016"/>
      <c r="B11" s="1019"/>
      <c r="C11" s="1025" t="s">
        <v>1005</v>
      </c>
      <c r="D11" s="1026"/>
      <c r="E11" s="553"/>
      <c r="F11" s="554">
        <f>SUM(F4:F10)</f>
        <v>292000000</v>
      </c>
      <c r="G11" s="550"/>
      <c r="H11" s="551"/>
    </row>
    <row r="12" spans="1:8" s="163" customFormat="1" ht="24.95" customHeight="1">
      <c r="A12" s="1016"/>
      <c r="B12" s="549" t="s">
        <v>1006</v>
      </c>
      <c r="C12" s="1027" t="s">
        <v>1007</v>
      </c>
      <c r="D12" s="1027"/>
      <c r="E12" s="549"/>
      <c r="F12" s="555">
        <v>50030000</v>
      </c>
      <c r="G12" s="556"/>
      <c r="H12" s="557"/>
    </row>
    <row r="13" spans="1:8" s="163" customFormat="1" ht="24.95" customHeight="1">
      <c r="A13" s="1016"/>
      <c r="B13" s="1022" t="s">
        <v>1008</v>
      </c>
      <c r="C13" s="1028"/>
      <c r="D13" s="1023"/>
      <c r="E13" s="546"/>
      <c r="F13" s="554">
        <v>16500000</v>
      </c>
      <c r="G13" s="556"/>
      <c r="H13" s="557"/>
    </row>
    <row r="14" spans="1:8" s="163" customFormat="1" ht="24.95" customHeight="1">
      <c r="A14" s="1016"/>
      <c r="B14" s="1022" t="s">
        <v>1009</v>
      </c>
      <c r="C14" s="1028"/>
      <c r="D14" s="1023"/>
      <c r="E14" s="549"/>
      <c r="F14" s="554">
        <v>55200000</v>
      </c>
      <c r="G14" s="556"/>
      <c r="H14" s="557"/>
    </row>
    <row r="15" spans="1:8" s="562" customFormat="1" ht="24.95" customHeight="1" thickBot="1">
      <c r="A15" s="1011" t="s">
        <v>1010</v>
      </c>
      <c r="B15" s="1012"/>
      <c r="C15" s="1012"/>
      <c r="D15" s="1012"/>
      <c r="E15" s="558"/>
      <c r="F15" s="559">
        <f>F11+F12+F13+F14</f>
        <v>413730000</v>
      </c>
      <c r="G15" s="559"/>
      <c r="H15" s="560"/>
    </row>
  </sheetData>
  <mergeCells count="13">
    <mergeCell ref="A15:D15"/>
    <mergeCell ref="A1:H1"/>
    <mergeCell ref="C3:D3"/>
    <mergeCell ref="A4:A14"/>
    <mergeCell ref="B4:B11"/>
    <mergeCell ref="C4:D4"/>
    <mergeCell ref="C5:D5"/>
    <mergeCell ref="C6:C7"/>
    <mergeCell ref="C9:C10"/>
    <mergeCell ref="C11:D11"/>
    <mergeCell ref="C12:D12"/>
    <mergeCell ref="B13:D13"/>
    <mergeCell ref="B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&amp;L&amp;"새굴림,보통"&amp;9&lt;별지제1호서식&gt;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 topLeftCell="A22">
      <selection activeCell="D64" sqref="D64"/>
    </sheetView>
  </sheetViews>
  <sheetFormatPr defaultColWidth="9.00390625" defaultRowHeight="27" customHeight="1"/>
  <cols>
    <col min="1" max="1" width="17.125" style="69" customWidth="1"/>
    <col min="2" max="2" width="15.75390625" style="10" customWidth="1"/>
    <col min="3" max="3" width="16.375" style="10" customWidth="1"/>
    <col min="4" max="4" width="52.00390625" style="10" customWidth="1"/>
    <col min="5" max="5" width="21.00390625" style="10" customWidth="1"/>
    <col min="6" max="16384" width="9.00390625" style="10" customWidth="1"/>
  </cols>
  <sheetData>
    <row r="1" spans="1:5" s="9" customFormat="1" ht="30.75" customHeight="1">
      <c r="A1" s="993" t="s">
        <v>980</v>
      </c>
      <c r="B1" s="994"/>
      <c r="C1" s="994"/>
      <c r="D1" s="994"/>
      <c r="E1" s="994"/>
    </row>
    <row r="2" spans="1:5" s="9" customFormat="1" ht="18" customHeight="1">
      <c r="A2" s="1029" t="s">
        <v>951</v>
      </c>
      <c r="B2" s="1029"/>
      <c r="C2" s="1029"/>
      <c r="D2" s="1029"/>
      <c r="E2" s="1029"/>
    </row>
    <row r="3" spans="1:5" ht="27.75" customHeight="1">
      <c r="A3" s="1030" t="s">
        <v>952</v>
      </c>
      <c r="B3" s="1031"/>
      <c r="C3" s="1031"/>
      <c r="D3" s="1031"/>
      <c r="E3" s="1032"/>
    </row>
    <row r="4" spans="1:5" s="7" customFormat="1" ht="21.75" customHeight="1">
      <c r="A4" s="1033" t="s">
        <v>953</v>
      </c>
      <c r="B4" s="1033"/>
      <c r="C4" s="1033"/>
      <c r="D4" s="538" t="s">
        <v>981</v>
      </c>
      <c r="E4" s="1034" t="s">
        <v>982</v>
      </c>
    </row>
    <row r="5" spans="1:5" s="8" customFormat="1" ht="17.25" customHeight="1">
      <c r="A5" s="538" t="s">
        <v>955</v>
      </c>
      <c r="B5" s="538" t="s">
        <v>956</v>
      </c>
      <c r="C5" s="538" t="s">
        <v>957</v>
      </c>
      <c r="D5" s="538"/>
      <c r="E5" s="1033"/>
    </row>
    <row r="6" spans="1:5" s="15" customFormat="1" ht="12" customHeight="1">
      <c r="A6" s="865">
        <v>5200</v>
      </c>
      <c r="B6" s="861"/>
      <c r="C6" s="861"/>
      <c r="D6" s="861"/>
      <c r="E6" s="862"/>
    </row>
    <row r="7" spans="1:5" s="15" customFormat="1" ht="12" customHeight="1">
      <c r="A7" s="866" t="s">
        <v>1672</v>
      </c>
      <c r="B7" s="858"/>
      <c r="C7" s="858"/>
      <c r="D7" s="858"/>
      <c r="E7" s="859">
        <v>762000000</v>
      </c>
    </row>
    <row r="8" spans="1:5" s="15" customFormat="1" ht="12" customHeight="1">
      <c r="A8" s="897"/>
      <c r="B8" s="860" t="s">
        <v>1673</v>
      </c>
      <c r="C8" s="861"/>
      <c r="D8" s="861"/>
      <c r="E8" s="862"/>
    </row>
    <row r="9" spans="1:5" s="15" customFormat="1" ht="12" customHeight="1">
      <c r="A9" s="903"/>
      <c r="B9" s="866" t="s">
        <v>1674</v>
      </c>
      <c r="C9" s="858"/>
      <c r="D9" s="858"/>
      <c r="E9" s="859">
        <v>762000000</v>
      </c>
    </row>
    <row r="10" spans="1:5" s="15" customFormat="1" ht="12" customHeight="1">
      <c r="A10" s="870"/>
      <c r="B10" s="1035"/>
      <c r="C10" s="874">
        <v>5222</v>
      </c>
      <c r="D10" s="874"/>
      <c r="E10" s="863"/>
    </row>
    <row r="11" spans="1:5" s="15" customFormat="1" ht="12" customHeight="1">
      <c r="A11" s="870"/>
      <c r="B11" s="1035"/>
      <c r="C11" s="884" t="s">
        <v>1675</v>
      </c>
      <c r="D11" s="872"/>
      <c r="E11" s="873">
        <v>762000000</v>
      </c>
    </row>
    <row r="12" spans="1:5" s="15" customFormat="1" ht="12" customHeight="1">
      <c r="A12" s="870"/>
      <c r="B12" s="1035"/>
      <c r="C12" s="884"/>
      <c r="D12" s="872" t="s">
        <v>1676</v>
      </c>
      <c r="E12" s="873">
        <v>300000000</v>
      </c>
    </row>
    <row r="13" spans="1:5" s="15" customFormat="1" ht="12" customHeight="1">
      <c r="A13" s="870"/>
      <c r="B13" s="1035"/>
      <c r="C13" s="884"/>
      <c r="D13" s="872" t="s">
        <v>1677</v>
      </c>
      <c r="E13" s="873">
        <v>462000000</v>
      </c>
    </row>
    <row r="14" spans="1:5" s="15" customFormat="1" ht="12" customHeight="1">
      <c r="A14" s="865">
        <v>5400</v>
      </c>
      <c r="B14" s="887"/>
      <c r="C14" s="888"/>
      <c r="D14" s="878"/>
      <c r="E14" s="863"/>
    </row>
    <row r="15" spans="1:5" s="15" customFormat="1" ht="12" customHeight="1">
      <c r="A15" s="883" t="s">
        <v>1504</v>
      </c>
      <c r="B15" s="886"/>
      <c r="C15" s="869"/>
      <c r="D15" s="864"/>
      <c r="E15" s="864">
        <v>2482000000</v>
      </c>
    </row>
    <row r="16" spans="1:5" s="15" customFormat="1" ht="12" customHeight="1">
      <c r="A16" s="870"/>
      <c r="B16" s="865">
        <v>5410</v>
      </c>
      <c r="C16" s="877"/>
      <c r="D16" s="863"/>
      <c r="E16" s="863"/>
    </row>
    <row r="17" spans="1:5" s="15" customFormat="1" ht="12" customHeight="1">
      <c r="A17" s="871"/>
      <c r="B17" s="883" t="s">
        <v>1152</v>
      </c>
      <c r="C17" s="869"/>
      <c r="D17" s="864"/>
      <c r="E17" s="864">
        <v>2481500000</v>
      </c>
    </row>
    <row r="18" spans="1:5" s="15" customFormat="1" ht="12" customHeight="1">
      <c r="A18" s="871"/>
      <c r="B18" s="870"/>
      <c r="C18" s="874">
        <v>5411</v>
      </c>
      <c r="D18" s="863"/>
      <c r="E18" s="863"/>
    </row>
    <row r="19" spans="1:5" s="15" customFormat="1" ht="12" customHeight="1">
      <c r="A19" s="871"/>
      <c r="B19" s="871"/>
      <c r="C19" s="884" t="s">
        <v>1505</v>
      </c>
      <c r="D19" s="885"/>
      <c r="E19" s="873">
        <v>2481500000</v>
      </c>
    </row>
    <row r="20" spans="1:5" s="15" customFormat="1" ht="12" customHeight="1">
      <c r="A20" s="871"/>
      <c r="B20" s="871"/>
      <c r="C20" s="884"/>
      <c r="D20" s="885" t="s">
        <v>1152</v>
      </c>
      <c r="E20" s="873">
        <v>245000000</v>
      </c>
    </row>
    <row r="21" spans="1:5" s="15" customFormat="1" ht="12" customHeight="1">
      <c r="A21" s="871"/>
      <c r="B21" s="868"/>
      <c r="C21" s="869"/>
      <c r="D21" s="881" t="s">
        <v>1678</v>
      </c>
      <c r="E21" s="864">
        <v>2236500000</v>
      </c>
    </row>
    <row r="22" spans="1:5" s="15" customFormat="1" ht="12" customHeight="1">
      <c r="A22" s="871"/>
      <c r="B22" s="865">
        <v>5420</v>
      </c>
      <c r="C22" s="874"/>
      <c r="D22" s="882"/>
      <c r="E22" s="875"/>
    </row>
    <row r="23" spans="1:5" s="15" customFormat="1" ht="12" customHeight="1">
      <c r="A23" s="871"/>
      <c r="B23" s="884" t="s">
        <v>1679</v>
      </c>
      <c r="C23" s="869"/>
      <c r="D23" s="864"/>
      <c r="E23" s="864">
        <v>500000</v>
      </c>
    </row>
    <row r="24" spans="1:5" s="15" customFormat="1" ht="12" customHeight="1">
      <c r="A24" s="871"/>
      <c r="B24" s="870"/>
      <c r="C24" s="874">
        <v>5421</v>
      </c>
      <c r="D24" s="863"/>
      <c r="E24" s="863"/>
    </row>
    <row r="25" spans="1:5" s="15" customFormat="1" ht="12" customHeight="1">
      <c r="A25" s="871"/>
      <c r="B25" s="870"/>
      <c r="C25" s="884" t="s">
        <v>1506</v>
      </c>
      <c r="D25" s="873"/>
      <c r="E25" s="873">
        <v>500000</v>
      </c>
    </row>
    <row r="26" spans="1:5" s="15" customFormat="1" ht="12" customHeight="1">
      <c r="A26" s="871"/>
      <c r="B26" s="870"/>
      <c r="C26" s="884"/>
      <c r="D26" s="900" t="s">
        <v>1680</v>
      </c>
      <c r="E26" s="873">
        <v>0</v>
      </c>
    </row>
    <row r="27" spans="1:5" s="15" customFormat="1" ht="12" customHeight="1">
      <c r="A27" s="871"/>
      <c r="B27" s="870"/>
      <c r="C27" s="884"/>
      <c r="D27" s="900" t="s">
        <v>1681</v>
      </c>
      <c r="E27" s="873">
        <v>500000</v>
      </c>
    </row>
    <row r="28" spans="1:5" s="15" customFormat="1" ht="12" customHeight="1">
      <c r="A28" s="871"/>
      <c r="B28" s="865">
        <v>5430</v>
      </c>
      <c r="C28" s="874"/>
      <c r="D28" s="882"/>
      <c r="E28" s="875"/>
    </row>
    <row r="29" spans="1:5" s="15" customFormat="1" ht="12" customHeight="1">
      <c r="A29" s="871"/>
      <c r="B29" s="884" t="s">
        <v>1682</v>
      </c>
      <c r="C29" s="869"/>
      <c r="D29" s="864"/>
      <c r="E29" s="864">
        <v>0</v>
      </c>
    </row>
    <row r="30" spans="1:5" s="59" customFormat="1" ht="12" customHeight="1">
      <c r="A30" s="871"/>
      <c r="B30" s="870"/>
      <c r="C30" s="874">
        <v>5431</v>
      </c>
      <c r="D30" s="863"/>
      <c r="E30" s="863"/>
    </row>
    <row r="31" spans="1:5" s="15" customFormat="1" ht="12" customHeight="1">
      <c r="A31" s="871"/>
      <c r="B31" s="870"/>
      <c r="C31" s="884" t="s">
        <v>1683</v>
      </c>
      <c r="D31" s="873"/>
      <c r="E31" s="873">
        <v>0</v>
      </c>
    </row>
    <row r="32" spans="1:5" s="15" customFormat="1" ht="12" customHeight="1">
      <c r="A32" s="871"/>
      <c r="B32" s="870"/>
      <c r="C32" s="884"/>
      <c r="D32" s="900"/>
      <c r="E32" s="873">
        <v>0</v>
      </c>
    </row>
    <row r="33" spans="1:5" s="15" customFormat="1" ht="12" customHeight="1">
      <c r="A33" s="871"/>
      <c r="B33" s="870"/>
      <c r="C33" s="874">
        <v>5432</v>
      </c>
      <c r="D33" s="878"/>
      <c r="E33" s="863"/>
    </row>
    <row r="34" spans="1:5" s="15" customFormat="1" ht="12" customHeight="1">
      <c r="A34" s="871"/>
      <c r="B34" s="870"/>
      <c r="C34" s="884" t="s">
        <v>1684</v>
      </c>
      <c r="D34" s="885"/>
      <c r="E34" s="873">
        <v>0</v>
      </c>
    </row>
    <row r="35" spans="1:5" s="15" customFormat="1" ht="12" customHeight="1">
      <c r="A35" s="871"/>
      <c r="B35" s="870"/>
      <c r="C35" s="869"/>
      <c r="D35" s="899"/>
      <c r="E35" s="864">
        <v>0</v>
      </c>
    </row>
    <row r="36" spans="1:5" s="15" customFormat="1" ht="12" customHeight="1">
      <c r="A36" s="921">
        <v>1200</v>
      </c>
      <c r="B36" s="928"/>
      <c r="C36" s="930"/>
      <c r="D36" s="919"/>
      <c r="E36" s="910"/>
    </row>
    <row r="37" spans="1:5" s="15" customFormat="1" ht="12" customHeight="1">
      <c r="A37" s="883" t="s">
        <v>1685</v>
      </c>
      <c r="B37" s="886"/>
      <c r="C37" s="869"/>
      <c r="D37" s="864"/>
      <c r="E37" s="864">
        <f>E39+E44</f>
        <v>2398923000</v>
      </c>
    </row>
    <row r="38" spans="1:5" s="15" customFormat="1" ht="12" customHeight="1">
      <c r="A38" s="912"/>
      <c r="B38" s="857">
        <v>1240</v>
      </c>
      <c r="C38" s="974"/>
      <c r="D38" s="929"/>
      <c r="E38" s="929"/>
    </row>
    <row r="39" spans="1:5" s="15" customFormat="1" ht="12" customHeight="1">
      <c r="A39" s="870"/>
      <c r="B39" s="883" t="s">
        <v>1510</v>
      </c>
      <c r="C39" s="869"/>
      <c r="D39" s="881"/>
      <c r="E39" s="881">
        <v>0</v>
      </c>
    </row>
    <row r="40" spans="1:5" s="15" customFormat="1" ht="12" customHeight="1">
      <c r="A40" s="870"/>
      <c r="B40" s="870"/>
      <c r="C40" s="872">
        <v>1244</v>
      </c>
      <c r="D40" s="896"/>
      <c r="E40" s="896"/>
    </row>
    <row r="41" spans="1:5" s="15" customFormat="1" ht="12" customHeight="1">
      <c r="A41" s="870"/>
      <c r="B41" s="870"/>
      <c r="C41" s="884" t="s">
        <v>1686</v>
      </c>
      <c r="D41" s="873"/>
      <c r="E41" s="873">
        <v>0</v>
      </c>
    </row>
    <row r="42" spans="1:5" s="15" customFormat="1" ht="12" customHeight="1">
      <c r="A42" s="870"/>
      <c r="B42" s="870"/>
      <c r="C42" s="869"/>
      <c r="D42" s="901"/>
      <c r="E42" s="864">
        <v>0</v>
      </c>
    </row>
    <row r="43" spans="1:5" s="15" customFormat="1" ht="12" customHeight="1">
      <c r="A43" s="870"/>
      <c r="B43" s="876">
        <v>1260</v>
      </c>
      <c r="C43" s="877"/>
      <c r="D43" s="863"/>
      <c r="E43" s="863"/>
    </row>
    <row r="44" spans="1:5" s="15" customFormat="1" ht="12" customHeight="1">
      <c r="A44" s="870"/>
      <c r="B44" s="883" t="s">
        <v>1687</v>
      </c>
      <c r="C44" s="869"/>
      <c r="D44" s="881"/>
      <c r="E44" s="881">
        <f>E46+E49</f>
        <v>2398923000</v>
      </c>
    </row>
    <row r="45" spans="1:5" s="15" customFormat="1" ht="12" customHeight="1">
      <c r="A45" s="870"/>
      <c r="B45" s="870"/>
      <c r="C45" s="872">
        <v>1263</v>
      </c>
      <c r="D45" s="896"/>
      <c r="E45" s="896"/>
    </row>
    <row r="46" spans="1:5" s="15" customFormat="1" ht="12" customHeight="1">
      <c r="A46" s="870"/>
      <c r="B46" s="870"/>
      <c r="C46" s="884" t="s">
        <v>1688</v>
      </c>
      <c r="D46" s="873"/>
      <c r="E46" s="873">
        <v>700000000</v>
      </c>
    </row>
    <row r="47" spans="1:5" s="15" customFormat="1" ht="12" customHeight="1">
      <c r="A47" s="870"/>
      <c r="B47" s="870"/>
      <c r="C47" s="869"/>
      <c r="D47" s="901" t="s">
        <v>1689</v>
      </c>
      <c r="E47" s="864">
        <v>700000000</v>
      </c>
    </row>
    <row r="48" spans="1:5" s="15" customFormat="1" ht="12" customHeight="1">
      <c r="A48" s="870"/>
      <c r="B48" s="870"/>
      <c r="C48" s="872">
        <v>1266</v>
      </c>
      <c r="D48" s="900"/>
      <c r="E48" s="873"/>
    </row>
    <row r="49" spans="1:5" ht="12" customHeight="1">
      <c r="A49" s="870"/>
      <c r="B49" s="870"/>
      <c r="C49" s="884" t="s">
        <v>1690</v>
      </c>
      <c r="D49" s="900"/>
      <c r="E49" s="873">
        <f>SUM(E50)</f>
        <v>1698923000</v>
      </c>
    </row>
    <row r="50" spans="1:5" ht="12" customHeight="1">
      <c r="A50" s="870"/>
      <c r="B50" s="870"/>
      <c r="C50" s="869"/>
      <c r="D50" s="901" t="s">
        <v>1691</v>
      </c>
      <c r="E50" s="864">
        <f>1618923000+80000000</f>
        <v>1698923000</v>
      </c>
    </row>
    <row r="51" spans="1:5" ht="12" customHeight="1">
      <c r="A51" s="876">
        <v>1300</v>
      </c>
      <c r="B51" s="889"/>
      <c r="C51" s="890"/>
      <c r="D51" s="878"/>
      <c r="E51" s="863"/>
    </row>
    <row r="52" spans="1:5" ht="12" customHeight="1">
      <c r="A52" s="883" t="s">
        <v>1666</v>
      </c>
      <c r="B52" s="886"/>
      <c r="C52" s="879"/>
      <c r="D52" s="864"/>
      <c r="E52" s="864">
        <v>3637000</v>
      </c>
    </row>
    <row r="53" spans="1:5" ht="12" customHeight="1">
      <c r="A53" s="871"/>
      <c r="B53" s="891">
        <v>1310</v>
      </c>
      <c r="C53" s="889"/>
      <c r="D53" s="878"/>
      <c r="E53" s="863"/>
    </row>
    <row r="54" spans="1:5" ht="12" customHeight="1">
      <c r="A54" s="871"/>
      <c r="B54" s="906" t="s">
        <v>1668</v>
      </c>
      <c r="C54" s="879"/>
      <c r="D54" s="864"/>
      <c r="E54" s="864">
        <v>3637000</v>
      </c>
    </row>
    <row r="55" spans="1:5" ht="12" customHeight="1">
      <c r="A55" s="871"/>
      <c r="B55" s="870"/>
      <c r="C55" s="880">
        <v>1316</v>
      </c>
      <c r="D55" s="863"/>
      <c r="E55" s="863"/>
    </row>
    <row r="56" spans="1:5" ht="12" customHeight="1">
      <c r="A56" s="871"/>
      <c r="B56" s="870"/>
      <c r="C56" s="884" t="s">
        <v>1670</v>
      </c>
      <c r="D56" s="898"/>
      <c r="E56" s="873">
        <v>3637000</v>
      </c>
    </row>
    <row r="57" spans="1:5" ht="12" customHeight="1">
      <c r="A57" s="876">
        <v>2200</v>
      </c>
      <c r="B57" s="889"/>
      <c r="C57" s="890"/>
      <c r="D57" s="878"/>
      <c r="E57" s="863"/>
    </row>
    <row r="58" spans="1:5" ht="12" customHeight="1">
      <c r="A58" s="883" t="s">
        <v>1692</v>
      </c>
      <c r="B58" s="886"/>
      <c r="C58" s="879"/>
      <c r="D58" s="864"/>
      <c r="E58" s="864">
        <v>0</v>
      </c>
    </row>
    <row r="59" spans="1:5" ht="12" customHeight="1">
      <c r="A59" s="871"/>
      <c r="B59" s="891">
        <v>2210</v>
      </c>
      <c r="C59" s="889"/>
      <c r="D59" s="878"/>
      <c r="E59" s="863"/>
    </row>
    <row r="60" spans="1:5" ht="12" customHeight="1">
      <c r="A60" s="871"/>
      <c r="B60" s="883" t="s">
        <v>1759</v>
      </c>
      <c r="C60" s="879"/>
      <c r="D60" s="864"/>
      <c r="E60" s="864">
        <f>E62</f>
        <v>4432788000</v>
      </c>
    </row>
    <row r="61" spans="1:5" ht="12" customHeight="1">
      <c r="A61" s="871"/>
      <c r="B61" s="870"/>
      <c r="C61" s="880">
        <v>2211</v>
      </c>
      <c r="D61" s="863"/>
      <c r="E61" s="863"/>
    </row>
    <row r="62" spans="1:5" ht="12" customHeight="1">
      <c r="A62" s="871"/>
      <c r="B62" s="870"/>
      <c r="C62" s="884" t="s">
        <v>1760</v>
      </c>
      <c r="D62" s="898"/>
      <c r="E62" s="915">
        <v>4432788000</v>
      </c>
    </row>
    <row r="63" spans="1:5" ht="12" customHeight="1">
      <c r="A63" s="871"/>
      <c r="B63" s="870"/>
      <c r="C63" s="869"/>
      <c r="D63" s="899" t="s">
        <v>1763</v>
      </c>
      <c r="E63" s="864">
        <v>4432788000</v>
      </c>
    </row>
    <row r="64" spans="1:5" ht="12" customHeight="1">
      <c r="A64" s="889" t="s">
        <v>1515</v>
      </c>
      <c r="B64" s="902"/>
      <c r="C64" s="892"/>
      <c r="D64" s="893"/>
      <c r="E64" s="893">
        <v>1060771000</v>
      </c>
    </row>
    <row r="65" spans="1:5" ht="12" customHeight="1">
      <c r="A65" s="870"/>
      <c r="B65" s="891">
        <v>1100</v>
      </c>
      <c r="C65" s="907"/>
      <c r="D65" s="904"/>
      <c r="E65" s="904"/>
    </row>
    <row r="66" spans="1:5" ht="12" customHeight="1">
      <c r="A66" s="870"/>
      <c r="B66" s="883" t="s">
        <v>1516</v>
      </c>
      <c r="C66" s="894"/>
      <c r="D66" s="864"/>
      <c r="E66" s="864">
        <v>1060771000</v>
      </c>
    </row>
    <row r="67" spans="1:5" ht="12" customHeight="1">
      <c r="A67" s="870"/>
      <c r="B67" s="870"/>
      <c r="C67" s="874">
        <v>1100</v>
      </c>
      <c r="D67" s="863"/>
      <c r="E67" s="863"/>
    </row>
    <row r="68" spans="1:5" ht="12" customHeight="1">
      <c r="A68" s="870"/>
      <c r="B68" s="867"/>
      <c r="C68" s="869" t="s">
        <v>1516</v>
      </c>
      <c r="D68" s="901" t="s">
        <v>1515</v>
      </c>
      <c r="E68" s="864">
        <v>1060771000</v>
      </c>
    </row>
    <row r="69" spans="1:5" ht="25.5" customHeight="1">
      <c r="A69" s="991" t="s">
        <v>1693</v>
      </c>
      <c r="B69" s="991"/>
      <c r="C69" s="991"/>
      <c r="D69" s="895"/>
      <c r="E69" s="905">
        <f>E7+E15+E37+E52+E60+E64</f>
        <v>11140119000</v>
      </c>
    </row>
  </sheetData>
  <mergeCells count="7">
    <mergeCell ref="A69:C69"/>
    <mergeCell ref="A1:E1"/>
    <mergeCell ref="A2:E2"/>
    <mergeCell ref="A3:E3"/>
    <mergeCell ref="A4:C4"/>
    <mergeCell ref="E4:E5"/>
    <mergeCell ref="B10:B13"/>
  </mergeCells>
  <printOptions/>
  <pageMargins left="0.6692913385826772" right="0.5511811023622047" top="0.5511811023622047" bottom="0.3937007874015748" header="0.31496062992125984" footer="0.1968503937007874"/>
  <pageSetup horizontalDpi="600" verticalDpi="600" orientation="landscape" paperSize="9" r:id="rId2"/>
  <headerFooter>
    <oddHeader>&amp;L&amp;"새굴림,보통"&amp;9&lt;별지제2호서식&gt;</oddHead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 topLeftCell="A131">
      <selection activeCell="D172" sqref="D172"/>
    </sheetView>
  </sheetViews>
  <sheetFormatPr defaultColWidth="9.00390625" defaultRowHeight="14.25"/>
  <cols>
    <col min="1" max="1" width="16.50390625" style="69" customWidth="1"/>
    <col min="2" max="2" width="16.75390625" style="69" customWidth="1"/>
    <col min="3" max="3" width="18.75390625" style="9" customWidth="1"/>
    <col min="4" max="4" width="45.625" style="9" customWidth="1"/>
    <col min="5" max="5" width="23.875" style="9" customWidth="1"/>
    <col min="6" max="6" width="16.125" style="9" bestFit="1" customWidth="1"/>
    <col min="7" max="16384" width="9.00390625" style="9" customWidth="1"/>
  </cols>
  <sheetData>
    <row r="1" spans="1:5" ht="33" customHeight="1">
      <c r="A1" s="993" t="s">
        <v>980</v>
      </c>
      <c r="B1" s="994"/>
      <c r="C1" s="994"/>
      <c r="D1" s="994"/>
      <c r="E1" s="994"/>
    </row>
    <row r="2" spans="1:5" ht="14.25" customHeight="1">
      <c r="A2" s="995" t="s">
        <v>951</v>
      </c>
      <c r="B2" s="995"/>
      <c r="C2" s="995"/>
      <c r="D2" s="995"/>
      <c r="E2" s="995"/>
    </row>
    <row r="3" spans="1:5" s="72" customFormat="1" ht="25.5">
      <c r="A3" s="1030" t="s">
        <v>983</v>
      </c>
      <c r="B3" s="1031"/>
      <c r="C3" s="1031"/>
      <c r="D3" s="1031"/>
      <c r="E3" s="1032"/>
    </row>
    <row r="4" spans="1:5" s="73" customFormat="1" ht="24" customHeight="1">
      <c r="A4" s="1033" t="s">
        <v>953</v>
      </c>
      <c r="B4" s="1033"/>
      <c r="C4" s="1033"/>
      <c r="D4" s="538" t="s">
        <v>981</v>
      </c>
      <c r="E4" s="1034" t="s">
        <v>982</v>
      </c>
    </row>
    <row r="5" spans="1:5" s="73" customFormat="1" ht="22.5" customHeight="1">
      <c r="A5" s="538" t="s">
        <v>955</v>
      </c>
      <c r="B5" s="538" t="s">
        <v>956</v>
      </c>
      <c r="C5" s="538" t="s">
        <v>957</v>
      </c>
      <c r="D5" s="538"/>
      <c r="E5" s="1033"/>
    </row>
    <row r="6" spans="1:5" s="77" customFormat="1" ht="12" customHeight="1">
      <c r="A6" s="908">
        <v>4100</v>
      </c>
      <c r="B6" s="909"/>
      <c r="C6" s="909"/>
      <c r="D6" s="909"/>
      <c r="E6" s="951"/>
    </row>
    <row r="7" spans="1:5" s="77" customFormat="1" ht="12" customHeight="1">
      <c r="A7" s="940" t="s">
        <v>1519</v>
      </c>
      <c r="B7" s="932"/>
      <c r="C7" s="933"/>
      <c r="D7" s="911"/>
      <c r="E7" s="911">
        <f>E9</f>
        <v>413730000</v>
      </c>
    </row>
    <row r="8" spans="1:5" s="77" customFormat="1" ht="12" customHeight="1">
      <c r="A8" s="949"/>
      <c r="B8" s="934">
        <v>4120</v>
      </c>
      <c r="C8" s="918"/>
      <c r="D8" s="958"/>
      <c r="E8" s="910"/>
    </row>
    <row r="9" spans="1:5" s="77" customFormat="1" ht="12" customHeight="1">
      <c r="A9" s="949"/>
      <c r="B9" s="940" t="s">
        <v>1535</v>
      </c>
      <c r="C9" s="913"/>
      <c r="D9" s="955"/>
      <c r="E9" s="911">
        <f>E11+E14+E17+E26+E30+E34</f>
        <v>413730000</v>
      </c>
    </row>
    <row r="10" spans="1:5" s="77" customFormat="1" ht="12" customHeight="1">
      <c r="A10" s="949"/>
      <c r="B10" s="943"/>
      <c r="C10" s="916">
        <v>4121</v>
      </c>
      <c r="D10" s="958"/>
      <c r="E10" s="910"/>
    </row>
    <row r="11" spans="1:5" s="77" customFormat="1" ht="12" customHeight="1">
      <c r="A11" s="949"/>
      <c r="B11" s="943"/>
      <c r="C11" s="924" t="s">
        <v>1536</v>
      </c>
      <c r="D11" s="954"/>
      <c r="E11" s="915">
        <v>162000000</v>
      </c>
    </row>
    <row r="12" spans="1:5" s="77" customFormat="1" ht="12" customHeight="1">
      <c r="A12" s="949"/>
      <c r="B12" s="943"/>
      <c r="C12" s="924"/>
      <c r="D12" s="954" t="s">
        <v>1694</v>
      </c>
      <c r="E12" s="915">
        <v>162000000</v>
      </c>
    </row>
    <row r="13" spans="1:5" s="77" customFormat="1" ht="12" customHeight="1">
      <c r="A13" s="949"/>
      <c r="B13" s="943"/>
      <c r="C13" s="916">
        <v>4122</v>
      </c>
      <c r="D13" s="958"/>
      <c r="E13" s="910"/>
    </row>
    <row r="14" spans="1:5" s="77" customFormat="1" ht="12" customHeight="1">
      <c r="A14" s="949"/>
      <c r="B14" s="943"/>
      <c r="C14" s="924" t="s">
        <v>1537</v>
      </c>
      <c r="D14" s="954"/>
      <c r="E14" s="915">
        <v>85000000</v>
      </c>
    </row>
    <row r="15" spans="1:5" s="77" customFormat="1" ht="12" customHeight="1">
      <c r="A15" s="949"/>
      <c r="B15" s="943"/>
      <c r="C15" s="924"/>
      <c r="D15" s="954" t="s">
        <v>1538</v>
      </c>
      <c r="E15" s="915">
        <v>85000000</v>
      </c>
    </row>
    <row r="16" spans="1:5" s="77" customFormat="1" ht="12" customHeight="1">
      <c r="A16" s="949"/>
      <c r="B16" s="943"/>
      <c r="C16" s="916">
        <v>4123</v>
      </c>
      <c r="D16" s="958"/>
      <c r="E16" s="910"/>
    </row>
    <row r="17" spans="1:5" s="77" customFormat="1" ht="12" customHeight="1">
      <c r="A17" s="949"/>
      <c r="B17" s="943"/>
      <c r="C17" s="924" t="s">
        <v>1539</v>
      </c>
      <c r="D17" s="954"/>
      <c r="E17" s="915">
        <v>45000000</v>
      </c>
    </row>
    <row r="18" spans="1:5" s="77" customFormat="1" ht="12" customHeight="1">
      <c r="A18" s="949"/>
      <c r="B18" s="943"/>
      <c r="C18" s="924"/>
      <c r="D18" s="954" t="s">
        <v>1452</v>
      </c>
      <c r="E18" s="915">
        <v>2818000</v>
      </c>
    </row>
    <row r="19" spans="1:5" s="77" customFormat="1" ht="12" customHeight="1">
      <c r="A19" s="949"/>
      <c r="B19" s="943"/>
      <c r="C19" s="924"/>
      <c r="D19" s="954" t="s">
        <v>1454</v>
      </c>
      <c r="E19" s="915">
        <v>12005000</v>
      </c>
    </row>
    <row r="20" spans="1:5" s="77" customFormat="1" ht="12" customHeight="1">
      <c r="A20" s="949"/>
      <c r="B20" s="943"/>
      <c r="C20" s="924"/>
      <c r="D20" s="954" t="s">
        <v>1470</v>
      </c>
      <c r="E20" s="915">
        <v>2815000</v>
      </c>
    </row>
    <row r="21" spans="1:5" s="77" customFormat="1" ht="12" customHeight="1">
      <c r="A21" s="949"/>
      <c r="B21" s="943"/>
      <c r="C21" s="924"/>
      <c r="D21" s="954" t="s">
        <v>1695</v>
      </c>
      <c r="E21" s="915">
        <v>5043000</v>
      </c>
    </row>
    <row r="22" spans="1:5" s="77" customFormat="1" ht="12" customHeight="1">
      <c r="A22" s="949"/>
      <c r="B22" s="943"/>
      <c r="C22" s="924"/>
      <c r="D22" s="965" t="s">
        <v>1696</v>
      </c>
      <c r="E22" s="915">
        <v>250000</v>
      </c>
    </row>
    <row r="23" spans="1:5" s="77" customFormat="1" ht="12" customHeight="1">
      <c r="A23" s="949"/>
      <c r="B23" s="943"/>
      <c r="C23" s="924"/>
      <c r="D23" s="965" t="s">
        <v>1697</v>
      </c>
      <c r="E23" s="915">
        <v>2645000</v>
      </c>
    </row>
    <row r="24" spans="1:5" s="77" customFormat="1" ht="12" customHeight="1">
      <c r="A24" s="949"/>
      <c r="B24" s="943"/>
      <c r="C24" s="924"/>
      <c r="D24" s="954" t="s">
        <v>1542</v>
      </c>
      <c r="E24" s="915">
        <v>19424000</v>
      </c>
    </row>
    <row r="25" spans="1:5" s="77" customFormat="1" ht="12" customHeight="1">
      <c r="A25" s="949"/>
      <c r="B25" s="943"/>
      <c r="C25" s="916">
        <v>4124</v>
      </c>
      <c r="D25" s="958"/>
      <c r="E25" s="910"/>
    </row>
    <row r="26" spans="1:5" s="77" customFormat="1" ht="12" customHeight="1">
      <c r="A26" s="949"/>
      <c r="B26" s="943"/>
      <c r="C26" s="924" t="s">
        <v>1543</v>
      </c>
      <c r="D26" s="954"/>
      <c r="E26" s="915">
        <v>16500000</v>
      </c>
    </row>
    <row r="27" spans="1:5" s="77" customFormat="1" ht="12" customHeight="1">
      <c r="A27" s="949"/>
      <c r="B27" s="943"/>
      <c r="C27" s="924"/>
      <c r="D27" s="954" t="s">
        <v>1544</v>
      </c>
      <c r="E27" s="915">
        <v>11000000</v>
      </c>
    </row>
    <row r="28" spans="1:5" s="77" customFormat="1" ht="12" customHeight="1">
      <c r="A28" s="949"/>
      <c r="B28" s="943"/>
      <c r="C28" s="924"/>
      <c r="D28" s="954" t="s">
        <v>1698</v>
      </c>
      <c r="E28" s="915">
        <v>5500000</v>
      </c>
    </row>
    <row r="29" spans="1:5" s="77" customFormat="1" ht="12" customHeight="1">
      <c r="A29" s="949"/>
      <c r="B29" s="943"/>
      <c r="C29" s="916">
        <v>4125</v>
      </c>
      <c r="D29" s="958"/>
      <c r="E29" s="910"/>
    </row>
    <row r="30" spans="1:5" s="77" customFormat="1" ht="12" customHeight="1">
      <c r="A30" s="949"/>
      <c r="B30" s="943"/>
      <c r="C30" s="924" t="s">
        <v>1546</v>
      </c>
      <c r="D30" s="954"/>
      <c r="E30" s="915">
        <v>50030000</v>
      </c>
    </row>
    <row r="31" spans="1:5" s="77" customFormat="1" ht="12" customHeight="1">
      <c r="A31" s="949"/>
      <c r="B31" s="943"/>
      <c r="C31" s="924"/>
      <c r="D31" s="954" t="s">
        <v>1546</v>
      </c>
      <c r="E31" s="915">
        <v>27530000</v>
      </c>
    </row>
    <row r="32" spans="1:5" s="77" customFormat="1" ht="12" customHeight="1">
      <c r="A32" s="949"/>
      <c r="B32" s="943"/>
      <c r="C32" s="924"/>
      <c r="D32" s="954" t="s">
        <v>1699</v>
      </c>
      <c r="E32" s="915">
        <v>22500000</v>
      </c>
    </row>
    <row r="33" spans="1:5" s="77" customFormat="1" ht="12" customHeight="1">
      <c r="A33" s="949"/>
      <c r="B33" s="943"/>
      <c r="C33" s="916">
        <v>4127</v>
      </c>
      <c r="D33" s="958"/>
      <c r="E33" s="910"/>
    </row>
    <row r="34" spans="1:5" s="77" customFormat="1" ht="12" customHeight="1">
      <c r="A34" s="949"/>
      <c r="B34" s="943"/>
      <c r="C34" s="924" t="s">
        <v>1700</v>
      </c>
      <c r="D34" s="954"/>
      <c r="E34" s="915">
        <v>55200000</v>
      </c>
    </row>
    <row r="35" spans="1:5" s="77" customFormat="1" ht="12" customHeight="1">
      <c r="A35" s="950"/>
      <c r="B35" s="944"/>
      <c r="C35" s="913"/>
      <c r="D35" s="955" t="s">
        <v>1459</v>
      </c>
      <c r="E35" s="911">
        <v>55200000</v>
      </c>
    </row>
    <row r="36" spans="1:5" s="77" customFormat="1" ht="12" customHeight="1">
      <c r="A36" s="934">
        <v>4200</v>
      </c>
      <c r="B36" s="939"/>
      <c r="C36" s="918"/>
      <c r="D36" s="958"/>
      <c r="E36" s="910"/>
    </row>
    <row r="37" spans="1:5" s="77" customFormat="1" ht="12" customHeight="1">
      <c r="A37" s="940" t="s">
        <v>1549</v>
      </c>
      <c r="B37" s="932"/>
      <c r="C37" s="920"/>
      <c r="D37" s="955"/>
      <c r="E37" s="911">
        <f>E39+E59+E92</f>
        <v>1293446000</v>
      </c>
    </row>
    <row r="38" spans="1:5" s="77" customFormat="1" ht="12" customHeight="1">
      <c r="A38" s="940"/>
      <c r="B38" s="934">
        <v>4210</v>
      </c>
      <c r="C38" s="941"/>
      <c r="D38" s="954"/>
      <c r="E38" s="915"/>
    </row>
    <row r="39" spans="1:5" s="77" customFormat="1" ht="12" customHeight="1">
      <c r="A39" s="940"/>
      <c r="B39" s="940" t="s">
        <v>1550</v>
      </c>
      <c r="C39" s="920"/>
      <c r="D39" s="955"/>
      <c r="E39" s="911">
        <f>E41+E44+E47+E50+E53+E56</f>
        <v>23996000</v>
      </c>
    </row>
    <row r="40" spans="1:5" s="77" customFormat="1" ht="12" customHeight="1">
      <c r="A40" s="942"/>
      <c r="B40" s="943"/>
      <c r="C40" s="921">
        <v>4211</v>
      </c>
      <c r="D40" s="959"/>
      <c r="E40" s="917"/>
    </row>
    <row r="41" spans="1:5" s="77" customFormat="1" ht="12" customHeight="1">
      <c r="A41" s="943"/>
      <c r="B41" s="943"/>
      <c r="C41" s="924" t="s">
        <v>1551</v>
      </c>
      <c r="D41" s="954"/>
      <c r="E41" s="915">
        <v>0</v>
      </c>
    </row>
    <row r="42" spans="1:5" s="77" customFormat="1" ht="12" customHeight="1">
      <c r="A42" s="943"/>
      <c r="B42" s="943"/>
      <c r="C42" s="924"/>
      <c r="D42" s="954"/>
      <c r="E42" s="915">
        <v>0</v>
      </c>
    </row>
    <row r="43" spans="1:5" s="77" customFormat="1" ht="12" customHeight="1">
      <c r="A43" s="942"/>
      <c r="B43" s="943"/>
      <c r="C43" s="916">
        <v>4212</v>
      </c>
      <c r="D43" s="959"/>
      <c r="E43" s="917"/>
    </row>
    <row r="44" spans="1:5" s="77" customFormat="1" ht="12" customHeight="1">
      <c r="A44" s="943"/>
      <c r="B44" s="943"/>
      <c r="C44" s="924" t="s">
        <v>1556</v>
      </c>
      <c r="D44" s="954"/>
      <c r="E44" s="915">
        <v>0</v>
      </c>
    </row>
    <row r="45" spans="1:5" s="77" customFormat="1" ht="12" customHeight="1">
      <c r="A45" s="943"/>
      <c r="B45" s="943"/>
      <c r="C45" s="924"/>
      <c r="D45" s="954"/>
      <c r="E45" s="915">
        <v>0</v>
      </c>
    </row>
    <row r="46" spans="1:5" s="77" customFormat="1" ht="12" customHeight="1">
      <c r="A46" s="942"/>
      <c r="B46" s="943"/>
      <c r="C46" s="916">
        <v>4215</v>
      </c>
      <c r="D46" s="959"/>
      <c r="E46" s="917"/>
    </row>
    <row r="47" spans="1:5" s="77" customFormat="1" ht="12" customHeight="1">
      <c r="A47" s="943"/>
      <c r="B47" s="943"/>
      <c r="C47" s="924" t="s">
        <v>1561</v>
      </c>
      <c r="D47" s="954"/>
      <c r="E47" s="915">
        <v>0</v>
      </c>
    </row>
    <row r="48" spans="1:5" s="77" customFormat="1" ht="12" customHeight="1">
      <c r="A48" s="943"/>
      <c r="B48" s="943"/>
      <c r="C48" s="924"/>
      <c r="D48" s="954"/>
      <c r="E48" s="915">
        <v>0</v>
      </c>
    </row>
    <row r="49" spans="1:5" s="77" customFormat="1" ht="12" customHeight="1">
      <c r="A49" s="942"/>
      <c r="B49" s="942"/>
      <c r="C49" s="916">
        <v>4216</v>
      </c>
      <c r="D49" s="959"/>
      <c r="E49" s="917"/>
    </row>
    <row r="50" spans="1:5" s="77" customFormat="1" ht="12" customHeight="1">
      <c r="A50" s="943"/>
      <c r="B50" s="943"/>
      <c r="C50" s="924" t="s">
        <v>1701</v>
      </c>
      <c r="D50" s="954"/>
      <c r="E50" s="915">
        <v>2000000</v>
      </c>
    </row>
    <row r="51" spans="1:5" s="77" customFormat="1" ht="12" customHeight="1">
      <c r="A51" s="943"/>
      <c r="B51" s="943"/>
      <c r="C51" s="913"/>
      <c r="D51" s="955" t="s">
        <v>1702</v>
      </c>
      <c r="E51" s="911">
        <v>2000000</v>
      </c>
    </row>
    <row r="52" spans="1:5" s="77" customFormat="1" ht="12" customHeight="1">
      <c r="A52" s="942"/>
      <c r="B52" s="943"/>
      <c r="C52" s="916">
        <v>4217</v>
      </c>
      <c r="D52" s="959"/>
      <c r="E52" s="917"/>
    </row>
    <row r="53" spans="1:5" s="77" customFormat="1" ht="12" customHeight="1">
      <c r="A53" s="943"/>
      <c r="B53" s="943"/>
      <c r="C53" s="924" t="s">
        <v>1703</v>
      </c>
      <c r="D53" s="954"/>
      <c r="E53" s="915">
        <v>21996000</v>
      </c>
    </row>
    <row r="54" spans="1:5" s="77" customFormat="1" ht="12" customHeight="1">
      <c r="A54" s="943"/>
      <c r="B54" s="943"/>
      <c r="C54" s="924"/>
      <c r="D54" s="954" t="s">
        <v>1704</v>
      </c>
      <c r="E54" s="915">
        <v>21996000</v>
      </c>
    </row>
    <row r="55" spans="1:5" s="77" customFormat="1" ht="12" customHeight="1">
      <c r="A55" s="942"/>
      <c r="B55" s="943"/>
      <c r="C55" s="916">
        <v>42179</v>
      </c>
      <c r="D55" s="959"/>
      <c r="E55" s="917"/>
    </row>
    <row r="56" spans="1:5" s="77" customFormat="1" ht="12" customHeight="1">
      <c r="A56" s="943"/>
      <c r="B56" s="943"/>
      <c r="C56" s="924" t="s">
        <v>1564</v>
      </c>
      <c r="D56" s="954"/>
      <c r="E56" s="915">
        <v>0</v>
      </c>
    </row>
    <row r="57" spans="1:5" s="77" customFormat="1" ht="12" customHeight="1">
      <c r="A57" s="943"/>
      <c r="B57" s="943"/>
      <c r="C57" s="924"/>
      <c r="D57" s="954"/>
      <c r="E57" s="915">
        <v>0</v>
      </c>
    </row>
    <row r="58" spans="1:5" s="77" customFormat="1" ht="12" customHeight="1">
      <c r="A58" s="942"/>
      <c r="B58" s="945">
        <v>4220</v>
      </c>
      <c r="C58" s="916"/>
      <c r="D58" s="959"/>
      <c r="E58" s="917"/>
    </row>
    <row r="59" spans="1:5" s="77" customFormat="1" ht="12" customHeight="1">
      <c r="A59" s="943"/>
      <c r="B59" s="940" t="s">
        <v>1566</v>
      </c>
      <c r="C59" s="920"/>
      <c r="D59" s="955"/>
      <c r="E59" s="911">
        <f>E61+E66+E71+E76+E79+E82+E85+E89</f>
        <v>639950000</v>
      </c>
    </row>
    <row r="60" spans="1:5" s="77" customFormat="1" ht="12" customHeight="1">
      <c r="A60" s="942"/>
      <c r="B60" s="942"/>
      <c r="C60" s="921">
        <v>4221</v>
      </c>
      <c r="D60" s="959"/>
      <c r="E60" s="917"/>
    </row>
    <row r="61" spans="1:5" s="77" customFormat="1" ht="12" customHeight="1">
      <c r="A61" s="943"/>
      <c r="B61" s="943"/>
      <c r="C61" s="924" t="s">
        <v>1567</v>
      </c>
      <c r="D61" s="954"/>
      <c r="E61" s="915">
        <v>3500000</v>
      </c>
    </row>
    <row r="62" spans="1:5" s="77" customFormat="1" ht="12" customHeight="1">
      <c r="A62" s="943"/>
      <c r="B62" s="943"/>
      <c r="C62" s="924"/>
      <c r="D62" s="954" t="s">
        <v>1705</v>
      </c>
      <c r="E62" s="915">
        <v>832000</v>
      </c>
    </row>
    <row r="63" spans="1:5" s="77" customFormat="1" ht="12" customHeight="1">
      <c r="A63" s="943"/>
      <c r="B63" s="943"/>
      <c r="C63" s="924"/>
      <c r="D63" s="954" t="s">
        <v>1706</v>
      </c>
      <c r="E63" s="915">
        <v>1148000</v>
      </c>
    </row>
    <row r="64" spans="1:5" s="77" customFormat="1" ht="12" customHeight="1">
      <c r="A64" s="943"/>
      <c r="B64" s="943"/>
      <c r="C64" s="924"/>
      <c r="D64" s="954" t="s">
        <v>1707</v>
      </c>
      <c r="E64" s="915">
        <v>1520000</v>
      </c>
    </row>
    <row r="65" spans="1:5" s="77" customFormat="1" ht="12" customHeight="1">
      <c r="A65" s="942"/>
      <c r="B65" s="942"/>
      <c r="C65" s="916">
        <v>4222</v>
      </c>
      <c r="D65" s="959"/>
      <c r="E65" s="917"/>
    </row>
    <row r="66" spans="1:5" s="77" customFormat="1" ht="12" customHeight="1">
      <c r="A66" s="943"/>
      <c r="B66" s="943"/>
      <c r="C66" s="924" t="s">
        <v>1708</v>
      </c>
      <c r="D66" s="954"/>
      <c r="E66" s="915">
        <v>33800000</v>
      </c>
    </row>
    <row r="67" spans="1:5" s="77" customFormat="1" ht="12" customHeight="1">
      <c r="A67" s="943"/>
      <c r="B67" s="943"/>
      <c r="C67" s="924"/>
      <c r="D67" s="954" t="s">
        <v>1709</v>
      </c>
      <c r="E67" s="915">
        <v>31800000</v>
      </c>
    </row>
    <row r="68" spans="1:5" s="77" customFormat="1" ht="12" customHeight="1">
      <c r="A68" s="943"/>
      <c r="B68" s="943"/>
      <c r="C68" s="924"/>
      <c r="D68" s="954" t="s">
        <v>1710</v>
      </c>
      <c r="E68" s="915">
        <v>1500000</v>
      </c>
    </row>
    <row r="69" spans="1:5" s="77" customFormat="1" ht="12" customHeight="1">
      <c r="A69" s="943"/>
      <c r="B69" s="943"/>
      <c r="C69" s="913"/>
      <c r="D69" s="955" t="s">
        <v>1711</v>
      </c>
      <c r="E69" s="911">
        <v>500000</v>
      </c>
    </row>
    <row r="70" spans="1:5" s="77" customFormat="1" ht="12" customHeight="1">
      <c r="A70" s="942"/>
      <c r="B70" s="942"/>
      <c r="C70" s="914">
        <v>4223</v>
      </c>
      <c r="D70" s="960"/>
      <c r="E70" s="946"/>
    </row>
    <row r="71" spans="1:5" s="77" customFormat="1" ht="12" customHeight="1">
      <c r="A71" s="944"/>
      <c r="B71" s="944"/>
      <c r="C71" s="913" t="s">
        <v>1570</v>
      </c>
      <c r="D71" s="955"/>
      <c r="E71" s="911">
        <v>15000000</v>
      </c>
    </row>
    <row r="72" spans="1:5" s="77" customFormat="1" ht="12" customHeight="1">
      <c r="A72" s="943"/>
      <c r="B72" s="943"/>
      <c r="C72" s="924"/>
      <c r="D72" s="954" t="s">
        <v>1712</v>
      </c>
      <c r="E72" s="915">
        <v>0</v>
      </c>
    </row>
    <row r="73" spans="1:5" s="77" customFormat="1" ht="12" customHeight="1">
      <c r="A73" s="943"/>
      <c r="B73" s="943"/>
      <c r="C73" s="924"/>
      <c r="D73" s="954" t="s">
        <v>1713</v>
      </c>
      <c r="E73" s="915">
        <v>8000000</v>
      </c>
    </row>
    <row r="74" spans="1:5" s="77" customFormat="1" ht="12" customHeight="1">
      <c r="A74" s="943"/>
      <c r="B74" s="943"/>
      <c r="C74" s="924"/>
      <c r="D74" s="954" t="s">
        <v>1714</v>
      </c>
      <c r="E74" s="915">
        <v>7000000</v>
      </c>
    </row>
    <row r="75" spans="1:5" s="77" customFormat="1" ht="12" customHeight="1">
      <c r="A75" s="942"/>
      <c r="B75" s="942"/>
      <c r="C75" s="916">
        <v>4225</v>
      </c>
      <c r="D75" s="973"/>
      <c r="E75" s="917"/>
    </row>
    <row r="76" spans="1:5" s="77" customFormat="1" ht="12" customHeight="1">
      <c r="A76" s="943"/>
      <c r="B76" s="943"/>
      <c r="C76" s="924" t="s">
        <v>1580</v>
      </c>
      <c r="D76" s="954"/>
      <c r="E76" s="915">
        <v>0</v>
      </c>
    </row>
    <row r="77" spans="1:5" s="77" customFormat="1" ht="12" customHeight="1">
      <c r="A77" s="943"/>
      <c r="B77" s="943"/>
      <c r="C77" s="913"/>
      <c r="D77" s="975"/>
      <c r="E77" s="911">
        <v>0</v>
      </c>
    </row>
    <row r="78" spans="1:5" s="77" customFormat="1" ht="12" customHeight="1">
      <c r="A78" s="942"/>
      <c r="B78" s="942"/>
      <c r="C78" s="914">
        <v>4226</v>
      </c>
      <c r="D78" s="960"/>
      <c r="E78" s="946"/>
    </row>
    <row r="79" spans="1:5" s="77" customFormat="1" ht="12" customHeight="1">
      <c r="A79" s="943"/>
      <c r="B79" s="943"/>
      <c r="C79" s="924" t="s">
        <v>1582</v>
      </c>
      <c r="D79" s="954"/>
      <c r="E79" s="915">
        <v>0</v>
      </c>
    </row>
    <row r="80" spans="1:5" s="77" customFormat="1" ht="12" customHeight="1">
      <c r="A80" s="943"/>
      <c r="B80" s="943"/>
      <c r="C80" s="924"/>
      <c r="D80" s="966" t="s">
        <v>237</v>
      </c>
      <c r="E80" s="915">
        <v>0</v>
      </c>
    </row>
    <row r="81" spans="1:5" s="77" customFormat="1" ht="12" customHeight="1">
      <c r="A81" s="942"/>
      <c r="B81" s="942"/>
      <c r="C81" s="916">
        <v>4227</v>
      </c>
      <c r="D81" s="959"/>
      <c r="E81" s="917"/>
    </row>
    <row r="82" spans="1:5" s="77" customFormat="1" ht="12" customHeight="1">
      <c r="A82" s="943"/>
      <c r="B82" s="943"/>
      <c r="C82" s="924" t="s">
        <v>1585</v>
      </c>
      <c r="D82" s="954"/>
      <c r="E82" s="915">
        <v>4150000</v>
      </c>
    </row>
    <row r="83" spans="1:5" s="77" customFormat="1" ht="12" customHeight="1">
      <c r="A83" s="943"/>
      <c r="B83" s="943"/>
      <c r="C83" s="924"/>
      <c r="D83" s="966" t="s">
        <v>240</v>
      </c>
      <c r="E83" s="967">
        <v>4150000</v>
      </c>
    </row>
    <row r="84" spans="1:5" s="77" customFormat="1" ht="12" customHeight="1">
      <c r="A84" s="942"/>
      <c r="B84" s="942"/>
      <c r="C84" s="916">
        <v>4228</v>
      </c>
      <c r="D84" s="959"/>
      <c r="E84" s="917"/>
    </row>
    <row r="85" spans="1:5" s="77" customFormat="1" ht="12" customHeight="1">
      <c r="A85" s="943"/>
      <c r="B85" s="943"/>
      <c r="C85" s="924" t="s">
        <v>1587</v>
      </c>
      <c r="D85" s="954"/>
      <c r="E85" s="915">
        <f>SUM(E86:E87)</f>
        <v>582000000</v>
      </c>
    </row>
    <row r="86" spans="1:5" s="77" customFormat="1" ht="12" customHeight="1">
      <c r="A86" s="943"/>
      <c r="B86" s="943"/>
      <c r="C86" s="924"/>
      <c r="D86" s="980" t="s">
        <v>1761</v>
      </c>
      <c r="E86" s="915">
        <v>580000000</v>
      </c>
    </row>
    <row r="87" spans="1:5" s="77" customFormat="1" ht="12" customHeight="1">
      <c r="A87" s="943"/>
      <c r="B87" s="943"/>
      <c r="C87" s="913"/>
      <c r="D87" s="970" t="s">
        <v>1715</v>
      </c>
      <c r="E87" s="911">
        <v>2000000</v>
      </c>
    </row>
    <row r="88" spans="1:5" s="77" customFormat="1" ht="12" customHeight="1">
      <c r="A88" s="942"/>
      <c r="B88" s="942"/>
      <c r="C88" s="914">
        <v>4229</v>
      </c>
      <c r="D88" s="960"/>
      <c r="E88" s="946"/>
    </row>
    <row r="89" spans="1:5" s="77" customFormat="1" ht="12" customHeight="1">
      <c r="A89" s="943"/>
      <c r="B89" s="943"/>
      <c r="C89" s="924" t="s">
        <v>1588</v>
      </c>
      <c r="D89" s="968"/>
      <c r="E89" s="915">
        <v>1500000</v>
      </c>
    </row>
    <row r="90" spans="1:5" s="77" customFormat="1" ht="12" customHeight="1">
      <c r="A90" s="943"/>
      <c r="B90" s="943"/>
      <c r="C90" s="924"/>
      <c r="D90" s="966" t="s">
        <v>1716</v>
      </c>
      <c r="E90" s="915">
        <v>1500000</v>
      </c>
    </row>
    <row r="91" spans="1:5" s="77" customFormat="1" ht="12" customHeight="1">
      <c r="A91" s="942"/>
      <c r="B91" s="945">
        <v>4230</v>
      </c>
      <c r="C91" s="916"/>
      <c r="D91" s="959"/>
      <c r="E91" s="917"/>
    </row>
    <row r="92" spans="1:5" s="77" customFormat="1" ht="12" customHeight="1">
      <c r="A92" s="943"/>
      <c r="B92" s="940" t="s">
        <v>1592</v>
      </c>
      <c r="C92" s="920"/>
      <c r="D92" s="955"/>
      <c r="E92" s="911">
        <f>E94+E98+E102+E108+E112+E117+E120</f>
        <v>629500000</v>
      </c>
    </row>
    <row r="93" spans="1:5" s="77" customFormat="1" ht="12" customHeight="1">
      <c r="A93" s="942"/>
      <c r="B93" s="943"/>
      <c r="C93" s="921">
        <v>4231</v>
      </c>
      <c r="D93" s="959"/>
      <c r="E93" s="917"/>
    </row>
    <row r="94" spans="1:5" s="77" customFormat="1" ht="12" customHeight="1">
      <c r="A94" s="943"/>
      <c r="B94" s="943"/>
      <c r="C94" s="924" t="s">
        <v>1469</v>
      </c>
      <c r="D94" s="954"/>
      <c r="E94" s="915">
        <v>11000000</v>
      </c>
    </row>
    <row r="95" spans="1:5" s="77" customFormat="1" ht="12" customHeight="1">
      <c r="A95" s="943"/>
      <c r="B95" s="943"/>
      <c r="C95" s="924"/>
      <c r="D95" s="954" t="s">
        <v>1717</v>
      </c>
      <c r="E95" s="915">
        <v>3000000</v>
      </c>
    </row>
    <row r="96" spans="1:5" s="77" customFormat="1" ht="12" customHeight="1">
      <c r="A96" s="943"/>
      <c r="B96" s="943"/>
      <c r="C96" s="924"/>
      <c r="D96" s="954" t="s">
        <v>1595</v>
      </c>
      <c r="E96" s="915">
        <v>8000000</v>
      </c>
    </row>
    <row r="97" spans="1:5" s="77" customFormat="1" ht="12" customHeight="1">
      <c r="A97" s="942"/>
      <c r="B97" s="943"/>
      <c r="C97" s="916">
        <v>4232</v>
      </c>
      <c r="D97" s="959"/>
      <c r="E97" s="917"/>
    </row>
    <row r="98" spans="1:5" s="77" customFormat="1" ht="12" customHeight="1">
      <c r="A98" s="943"/>
      <c r="B98" s="943"/>
      <c r="C98" s="924" t="s">
        <v>1697</v>
      </c>
      <c r="D98" s="954"/>
      <c r="E98" s="915">
        <v>3200000</v>
      </c>
    </row>
    <row r="99" spans="1:5" s="77" customFormat="1" ht="12" customHeight="1">
      <c r="A99" s="943"/>
      <c r="B99" s="943"/>
      <c r="C99" s="924"/>
      <c r="D99" s="954" t="s">
        <v>1718</v>
      </c>
      <c r="E99" s="915">
        <v>2000000</v>
      </c>
    </row>
    <row r="100" spans="1:5" s="77" customFormat="1" ht="12" customHeight="1">
      <c r="A100" s="943"/>
      <c r="B100" s="943"/>
      <c r="C100" s="924"/>
      <c r="D100" s="954" t="s">
        <v>1719</v>
      </c>
      <c r="E100" s="915">
        <v>1200000</v>
      </c>
    </row>
    <row r="101" spans="1:5" s="77" customFormat="1" ht="12" customHeight="1">
      <c r="A101" s="942"/>
      <c r="B101" s="942"/>
      <c r="C101" s="916">
        <v>4233</v>
      </c>
      <c r="D101" s="959"/>
      <c r="E101" s="917"/>
    </row>
    <row r="102" spans="1:5" s="77" customFormat="1" ht="12" customHeight="1">
      <c r="A102" s="943"/>
      <c r="B102" s="943"/>
      <c r="C102" s="924" t="s">
        <v>1720</v>
      </c>
      <c r="D102" s="954"/>
      <c r="E102" s="915">
        <v>450000000</v>
      </c>
    </row>
    <row r="103" spans="1:5" s="77" customFormat="1" ht="12" customHeight="1">
      <c r="A103" s="943"/>
      <c r="B103" s="943"/>
      <c r="C103" s="924"/>
      <c r="D103" s="954" t="s">
        <v>1721</v>
      </c>
      <c r="E103" s="915">
        <v>16000000</v>
      </c>
    </row>
    <row r="104" spans="1:5" s="77" customFormat="1" ht="12" customHeight="1">
      <c r="A104" s="943"/>
      <c r="B104" s="943"/>
      <c r="C104" s="924"/>
      <c r="D104" s="954" t="s">
        <v>1722</v>
      </c>
      <c r="E104" s="915">
        <v>55000000</v>
      </c>
    </row>
    <row r="105" spans="1:5" s="77" customFormat="1" ht="12" customHeight="1">
      <c r="A105" s="943"/>
      <c r="B105" s="943"/>
      <c r="C105" s="924"/>
      <c r="D105" s="954" t="s">
        <v>1723</v>
      </c>
      <c r="E105" s="915">
        <v>248000000</v>
      </c>
    </row>
    <row r="106" spans="1:5" s="77" customFormat="1" ht="12" customHeight="1">
      <c r="A106" s="943"/>
      <c r="B106" s="943"/>
      <c r="C106" s="924"/>
      <c r="D106" s="954" t="s">
        <v>1724</v>
      </c>
      <c r="E106" s="915">
        <v>131000000</v>
      </c>
    </row>
    <row r="107" spans="1:5" s="77" customFormat="1" ht="12" customHeight="1">
      <c r="A107" s="944"/>
      <c r="B107" s="944"/>
      <c r="C107" s="976">
        <v>4234</v>
      </c>
      <c r="D107" s="172"/>
      <c r="E107" s="977"/>
    </row>
    <row r="108" spans="1:5" s="77" customFormat="1" ht="12" customHeight="1">
      <c r="A108" s="944"/>
      <c r="B108" s="944"/>
      <c r="C108" s="913" t="s">
        <v>1596</v>
      </c>
      <c r="D108" s="955"/>
      <c r="E108" s="911">
        <v>50000000</v>
      </c>
    </row>
    <row r="109" spans="1:5" s="77" customFormat="1" ht="12" customHeight="1">
      <c r="A109" s="943"/>
      <c r="B109" s="943"/>
      <c r="C109" s="924"/>
      <c r="D109" s="954" t="s">
        <v>1725</v>
      </c>
      <c r="E109" s="915">
        <v>30000000</v>
      </c>
    </row>
    <row r="110" spans="1:5" s="77" customFormat="1" ht="12" customHeight="1">
      <c r="A110" s="943"/>
      <c r="B110" s="943"/>
      <c r="C110" s="924"/>
      <c r="D110" s="954" t="s">
        <v>1596</v>
      </c>
      <c r="E110" s="915">
        <v>20000000</v>
      </c>
    </row>
    <row r="111" spans="1:5" s="77" customFormat="1" ht="12" customHeight="1">
      <c r="A111" s="943"/>
      <c r="B111" s="943"/>
      <c r="C111" s="916">
        <v>4236</v>
      </c>
      <c r="D111" s="959"/>
      <c r="E111" s="917"/>
    </row>
    <row r="112" spans="1:5" s="77" customFormat="1" ht="12" customHeight="1">
      <c r="A112" s="943"/>
      <c r="B112" s="943"/>
      <c r="C112" s="924" t="s">
        <v>1604</v>
      </c>
      <c r="D112" s="954"/>
      <c r="E112" s="915">
        <v>97000000</v>
      </c>
    </row>
    <row r="113" spans="1:5" s="77" customFormat="1" ht="12" customHeight="1">
      <c r="A113" s="943"/>
      <c r="B113" s="943"/>
      <c r="C113" s="924"/>
      <c r="D113" s="954" t="s">
        <v>1726</v>
      </c>
      <c r="E113" s="915">
        <v>71500000</v>
      </c>
    </row>
    <row r="114" spans="1:5" s="77" customFormat="1" ht="12" customHeight="1">
      <c r="A114" s="943"/>
      <c r="B114" s="943"/>
      <c r="C114" s="924"/>
      <c r="D114" s="954" t="s">
        <v>1727</v>
      </c>
      <c r="E114" s="915">
        <v>11200000</v>
      </c>
    </row>
    <row r="115" spans="1:5" s="77" customFormat="1" ht="12" customHeight="1">
      <c r="A115" s="943"/>
      <c r="B115" s="943"/>
      <c r="C115" s="913"/>
      <c r="D115" s="955" t="s">
        <v>1728</v>
      </c>
      <c r="E115" s="911">
        <v>14300000</v>
      </c>
    </row>
    <row r="116" spans="1:5" s="77" customFormat="1" ht="12" customHeight="1">
      <c r="A116" s="943"/>
      <c r="B116" s="943"/>
      <c r="C116" s="914">
        <v>4237</v>
      </c>
      <c r="D116" s="960"/>
      <c r="E116" s="946"/>
    </row>
    <row r="117" spans="1:5" s="77" customFormat="1" ht="12" customHeight="1">
      <c r="A117" s="943"/>
      <c r="B117" s="943"/>
      <c r="C117" s="924" t="s">
        <v>1729</v>
      </c>
      <c r="D117" s="954"/>
      <c r="E117" s="915">
        <v>3500000</v>
      </c>
    </row>
    <row r="118" spans="1:5" s="77" customFormat="1" ht="12" customHeight="1">
      <c r="A118" s="943"/>
      <c r="B118" s="943"/>
      <c r="C118" s="924"/>
      <c r="D118" s="954" t="s">
        <v>1730</v>
      </c>
      <c r="E118" s="915">
        <v>3500000</v>
      </c>
    </row>
    <row r="119" spans="1:5" s="77" customFormat="1" ht="12" customHeight="1">
      <c r="A119" s="943"/>
      <c r="B119" s="943"/>
      <c r="C119" s="916">
        <v>4239</v>
      </c>
      <c r="D119" s="959"/>
      <c r="E119" s="917"/>
    </row>
    <row r="120" spans="1:5" s="77" customFormat="1" ht="12" customHeight="1">
      <c r="A120" s="943"/>
      <c r="B120" s="943"/>
      <c r="C120" s="924" t="s">
        <v>1606</v>
      </c>
      <c r="D120" s="954"/>
      <c r="E120" s="915">
        <v>14800000</v>
      </c>
    </row>
    <row r="121" spans="1:5" s="77" customFormat="1" ht="12" customHeight="1">
      <c r="A121" s="943"/>
      <c r="B121" s="943"/>
      <c r="C121" s="924"/>
      <c r="D121" s="954" t="s">
        <v>1731</v>
      </c>
      <c r="E121" s="915">
        <v>3600000</v>
      </c>
    </row>
    <row r="122" spans="1:5" s="77" customFormat="1" ht="12" customHeight="1">
      <c r="A122" s="943"/>
      <c r="B122" s="943"/>
      <c r="C122" s="924"/>
      <c r="D122" s="954" t="s">
        <v>1732</v>
      </c>
      <c r="E122" s="915">
        <v>1200000</v>
      </c>
    </row>
    <row r="123" spans="1:5" s="77" customFormat="1" ht="12" customHeight="1">
      <c r="A123" s="943"/>
      <c r="B123" s="943"/>
      <c r="C123" s="924"/>
      <c r="D123" s="954" t="s">
        <v>1733</v>
      </c>
      <c r="E123" s="915">
        <v>10000000</v>
      </c>
    </row>
    <row r="124" spans="1:5" s="77" customFormat="1" ht="12" customHeight="1">
      <c r="A124" s="945">
        <v>4500</v>
      </c>
      <c r="B124" s="945"/>
      <c r="C124" s="916"/>
      <c r="D124" s="962"/>
      <c r="E124" s="948"/>
    </row>
    <row r="125" spans="1:5" s="77" customFormat="1" ht="12" customHeight="1">
      <c r="A125" s="940" t="s">
        <v>1629</v>
      </c>
      <c r="B125" s="935"/>
      <c r="C125" s="913"/>
      <c r="D125" s="961"/>
      <c r="E125" s="927">
        <f>E127+E133</f>
        <v>9141746000</v>
      </c>
    </row>
    <row r="126" spans="1:5" s="77" customFormat="1" ht="12" customHeight="1">
      <c r="A126" s="943"/>
      <c r="B126" s="945">
        <v>4510</v>
      </c>
      <c r="C126" s="916"/>
      <c r="D126" s="962"/>
      <c r="E126" s="948"/>
    </row>
    <row r="127" spans="1:5" s="77" customFormat="1" ht="12" customHeight="1">
      <c r="A127" s="943"/>
      <c r="B127" s="940" t="s">
        <v>1629</v>
      </c>
      <c r="C127" s="913"/>
      <c r="D127" s="961"/>
      <c r="E127" s="927">
        <f>E129</f>
        <v>4907208000</v>
      </c>
    </row>
    <row r="128" spans="1:5" s="77" customFormat="1" ht="12" customHeight="1">
      <c r="A128" s="943"/>
      <c r="B128" s="940"/>
      <c r="C128" s="916">
        <v>4511</v>
      </c>
      <c r="D128" s="957"/>
      <c r="E128" s="938"/>
    </row>
    <row r="129" spans="1:5" s="77" customFormat="1" ht="12" customHeight="1">
      <c r="A129" s="943"/>
      <c r="B129" s="940"/>
      <c r="C129" s="924" t="s">
        <v>1734</v>
      </c>
      <c r="D129" s="957"/>
      <c r="E129" s="938">
        <f>SUM(E130:E131)</f>
        <v>4907208000</v>
      </c>
    </row>
    <row r="130" spans="1:5" s="77" customFormat="1" ht="12" customHeight="1">
      <c r="A130" s="943"/>
      <c r="B130" s="940"/>
      <c r="C130" s="924"/>
      <c r="D130" s="957" t="s">
        <v>1764</v>
      </c>
      <c r="E130" s="938">
        <v>4485788000</v>
      </c>
    </row>
    <row r="131" spans="1:5" s="77" customFormat="1" ht="12" customHeight="1">
      <c r="A131" s="943"/>
      <c r="B131" s="940"/>
      <c r="C131" s="924"/>
      <c r="D131" s="957" t="s">
        <v>1735</v>
      </c>
      <c r="E131" s="938">
        <v>421420000</v>
      </c>
    </row>
    <row r="132" spans="1:5" s="77" customFormat="1" ht="12" customHeight="1">
      <c r="A132" s="943"/>
      <c r="B132" s="943"/>
      <c r="C132" s="916">
        <v>4512</v>
      </c>
      <c r="D132" s="962"/>
      <c r="E132" s="948"/>
    </row>
    <row r="133" spans="1:5" s="77" customFormat="1" ht="12" customHeight="1">
      <c r="A133" s="943"/>
      <c r="B133" s="943"/>
      <c r="C133" s="924" t="s">
        <v>1736</v>
      </c>
      <c r="D133" s="957"/>
      <c r="E133" s="938">
        <v>4234538000</v>
      </c>
    </row>
    <row r="134" spans="1:5" s="77" customFormat="1" ht="12" customHeight="1">
      <c r="A134" s="943"/>
      <c r="B134" s="943"/>
      <c r="C134" s="924"/>
      <c r="D134" s="957" t="s">
        <v>1737</v>
      </c>
      <c r="E134" s="938">
        <v>300000000</v>
      </c>
    </row>
    <row r="135" spans="1:5" s="77" customFormat="1" ht="12" customHeight="1">
      <c r="A135" s="943"/>
      <c r="B135" s="943"/>
      <c r="C135" s="924"/>
      <c r="D135" s="957" t="s">
        <v>1738</v>
      </c>
      <c r="E135" s="938">
        <v>3532958000</v>
      </c>
    </row>
    <row r="136" spans="1:5" s="77" customFormat="1" ht="12" customHeight="1">
      <c r="A136" s="943"/>
      <c r="B136" s="943"/>
      <c r="C136" s="924"/>
      <c r="D136" s="957" t="s">
        <v>1739</v>
      </c>
      <c r="E136" s="938">
        <v>100000000</v>
      </c>
    </row>
    <row r="137" spans="1:5" s="77" customFormat="1" ht="12" customHeight="1">
      <c r="A137" s="944"/>
      <c r="B137" s="944"/>
      <c r="C137" s="913"/>
      <c r="D137" s="961" t="s">
        <v>1740</v>
      </c>
      <c r="E137" s="927">
        <v>301580000</v>
      </c>
    </row>
    <row r="138" spans="1:5" s="77" customFormat="1" ht="12" customHeight="1">
      <c r="A138" s="945">
        <v>4600</v>
      </c>
      <c r="B138" s="945"/>
      <c r="C138" s="916"/>
      <c r="D138" s="962"/>
      <c r="E138" s="948"/>
    </row>
    <row r="139" spans="1:5" s="77" customFormat="1" ht="12" customHeight="1">
      <c r="A139" s="936" t="s">
        <v>1631</v>
      </c>
      <c r="B139" s="935"/>
      <c r="C139" s="913"/>
      <c r="D139" s="961"/>
      <c r="E139" s="927">
        <v>50000000</v>
      </c>
    </row>
    <row r="140" spans="1:5" s="77" customFormat="1" ht="12" customHeight="1">
      <c r="A140" s="949"/>
      <c r="B140" s="945">
        <v>4610</v>
      </c>
      <c r="C140" s="916"/>
      <c r="D140" s="962"/>
      <c r="E140" s="948"/>
    </row>
    <row r="141" spans="1:5" s="77" customFormat="1" ht="12" customHeight="1">
      <c r="A141" s="943"/>
      <c r="B141" s="940" t="s">
        <v>1631</v>
      </c>
      <c r="C141" s="913"/>
      <c r="D141" s="955"/>
      <c r="E141" s="911">
        <v>50000000</v>
      </c>
    </row>
    <row r="142" spans="1:5" s="77" customFormat="1" ht="12" customHeight="1">
      <c r="A142" s="942"/>
      <c r="B142" s="942"/>
      <c r="C142" s="916">
        <v>4611</v>
      </c>
      <c r="D142" s="959"/>
      <c r="E142" s="917"/>
    </row>
    <row r="143" spans="1:5" s="77" customFormat="1" ht="12" customHeight="1">
      <c r="A143" s="944"/>
      <c r="B143" s="944"/>
      <c r="C143" s="913" t="s">
        <v>1631</v>
      </c>
      <c r="D143" s="961"/>
      <c r="E143" s="927">
        <v>50000000</v>
      </c>
    </row>
    <row r="144" spans="1:5" s="77" customFormat="1" ht="12" customHeight="1">
      <c r="A144" s="944"/>
      <c r="B144" s="944"/>
      <c r="C144" s="913"/>
      <c r="D144" s="961" t="s">
        <v>1631</v>
      </c>
      <c r="E144" s="927">
        <v>50000000</v>
      </c>
    </row>
    <row r="145" spans="1:5" s="77" customFormat="1" ht="12" customHeight="1">
      <c r="A145" s="945">
        <v>1200</v>
      </c>
      <c r="B145" s="947"/>
      <c r="C145" s="918"/>
      <c r="D145" s="963"/>
      <c r="E145" s="926"/>
    </row>
    <row r="146" spans="1:5" s="77" customFormat="1" ht="12" customHeight="1">
      <c r="A146" s="956" t="s">
        <v>1632</v>
      </c>
      <c r="B146" s="944"/>
      <c r="C146" s="913"/>
      <c r="D146" s="961"/>
      <c r="E146" s="927">
        <v>100000000</v>
      </c>
    </row>
    <row r="147" spans="1:5" s="77" customFormat="1" ht="12" customHeight="1">
      <c r="A147" s="943"/>
      <c r="B147" s="945">
        <v>1210</v>
      </c>
      <c r="C147" s="918"/>
      <c r="D147" s="963"/>
      <c r="E147" s="926"/>
    </row>
    <row r="148" spans="1:5" s="77" customFormat="1" ht="12" customHeight="1">
      <c r="A148" s="943"/>
      <c r="B148" s="940" t="s">
        <v>1741</v>
      </c>
      <c r="C148" s="924"/>
      <c r="D148" s="957"/>
      <c r="E148" s="938">
        <v>100000000</v>
      </c>
    </row>
    <row r="149" spans="1:5" s="77" customFormat="1" ht="12" customHeight="1">
      <c r="A149" s="943"/>
      <c r="B149" s="943"/>
      <c r="C149" s="916">
        <v>1213</v>
      </c>
      <c r="D149" s="963"/>
      <c r="E149" s="926"/>
    </row>
    <row r="150" spans="1:5" s="77" customFormat="1" ht="12" customHeight="1">
      <c r="A150" s="943"/>
      <c r="B150" s="943"/>
      <c r="C150" s="924" t="s">
        <v>1742</v>
      </c>
      <c r="D150" s="957"/>
      <c r="E150" s="938">
        <v>100000000</v>
      </c>
    </row>
    <row r="151" spans="1:5" s="77" customFormat="1" ht="12" customHeight="1">
      <c r="A151" s="942"/>
      <c r="B151" s="944"/>
      <c r="C151" s="913"/>
      <c r="D151" s="961" t="s">
        <v>1743</v>
      </c>
      <c r="E151" s="927">
        <v>100000000</v>
      </c>
    </row>
    <row r="152" spans="1:5" s="77" customFormat="1" ht="12" customHeight="1">
      <c r="A152" s="943"/>
      <c r="B152" s="942">
        <v>1260</v>
      </c>
      <c r="C152" s="924"/>
      <c r="D152" s="957"/>
      <c r="E152" s="938"/>
    </row>
    <row r="153" spans="1:5" s="77" customFormat="1" ht="12" customHeight="1">
      <c r="A153" s="943"/>
      <c r="B153" s="940" t="s">
        <v>1634</v>
      </c>
      <c r="C153" s="924"/>
      <c r="D153" s="957"/>
      <c r="E153" s="938">
        <v>0</v>
      </c>
    </row>
    <row r="154" spans="1:5" s="77" customFormat="1" ht="12" customHeight="1">
      <c r="A154" s="943"/>
      <c r="B154" s="943"/>
      <c r="C154" s="916">
        <v>1263</v>
      </c>
      <c r="D154" s="963"/>
      <c r="E154" s="926"/>
    </row>
    <row r="155" spans="1:5" s="77" customFormat="1" ht="12" customHeight="1">
      <c r="A155" s="943"/>
      <c r="B155" s="943"/>
      <c r="C155" s="924" t="s">
        <v>1744</v>
      </c>
      <c r="D155" s="957"/>
      <c r="E155" s="938">
        <v>0</v>
      </c>
    </row>
    <row r="156" spans="1:5" s="77" customFormat="1" ht="12" customHeight="1">
      <c r="A156" s="942"/>
      <c r="B156" s="943"/>
      <c r="C156" s="913"/>
      <c r="D156" s="961" t="s">
        <v>1745</v>
      </c>
      <c r="E156" s="927">
        <v>0</v>
      </c>
    </row>
    <row r="157" spans="1:5" s="77" customFormat="1" ht="14.25" customHeight="1">
      <c r="A157" s="942"/>
      <c r="B157" s="943"/>
      <c r="C157" s="914">
        <v>1266</v>
      </c>
      <c r="D157" s="957"/>
      <c r="E157" s="938"/>
    </row>
    <row r="158" spans="1:5" s="77" customFormat="1" ht="12" customHeight="1">
      <c r="A158" s="943"/>
      <c r="B158" s="943"/>
      <c r="C158" s="924" t="s">
        <v>1635</v>
      </c>
      <c r="D158" s="957"/>
      <c r="E158" s="938">
        <v>0</v>
      </c>
    </row>
    <row r="159" spans="1:5" s="77" customFormat="1" ht="12" customHeight="1">
      <c r="A159" s="942"/>
      <c r="B159" s="943"/>
      <c r="C159" s="924"/>
      <c r="D159" s="957" t="s">
        <v>1746</v>
      </c>
      <c r="E159" s="938">
        <v>0</v>
      </c>
    </row>
    <row r="160" spans="1:5" s="77" customFormat="1" ht="12" customHeight="1">
      <c r="A160" s="945">
        <v>1300</v>
      </c>
      <c r="B160" s="945"/>
      <c r="C160" s="916"/>
      <c r="D160" s="964"/>
      <c r="E160" s="923"/>
    </row>
    <row r="161" spans="1:5" s="77" customFormat="1" ht="12" customHeight="1">
      <c r="A161" s="940" t="s">
        <v>1637</v>
      </c>
      <c r="B161" s="935"/>
      <c r="C161" s="913"/>
      <c r="D161" s="955"/>
      <c r="E161" s="911">
        <v>20000000</v>
      </c>
    </row>
    <row r="162" spans="1:5" s="77" customFormat="1" ht="12" customHeight="1">
      <c r="A162" s="942"/>
      <c r="B162" s="942">
        <v>1310</v>
      </c>
      <c r="C162" s="916"/>
      <c r="D162" s="959"/>
      <c r="E162" s="917"/>
    </row>
    <row r="163" spans="1:5" s="77" customFormat="1" ht="12" customHeight="1">
      <c r="A163" s="936"/>
      <c r="B163" s="940" t="s">
        <v>1638</v>
      </c>
      <c r="C163" s="913"/>
      <c r="D163" s="955"/>
      <c r="E163" s="911">
        <v>20000000</v>
      </c>
    </row>
    <row r="164" spans="1:5" s="77" customFormat="1" ht="12" customHeight="1">
      <c r="A164" s="937"/>
      <c r="B164" s="942"/>
      <c r="C164" s="916">
        <v>1315</v>
      </c>
      <c r="D164" s="959"/>
      <c r="E164" s="917"/>
    </row>
    <row r="165" spans="1:5" s="77" customFormat="1" ht="21.75" customHeight="1">
      <c r="A165" s="949"/>
      <c r="B165" s="943"/>
      <c r="C165" s="924" t="s">
        <v>1642</v>
      </c>
      <c r="D165" s="954"/>
      <c r="E165" s="915">
        <v>20000000</v>
      </c>
    </row>
    <row r="166" spans="1:5" s="77" customFormat="1" ht="12" customHeight="1">
      <c r="A166" s="949"/>
      <c r="B166" s="943"/>
      <c r="C166" s="924"/>
      <c r="D166" s="954" t="s">
        <v>1643</v>
      </c>
      <c r="E166" s="915">
        <v>20000000</v>
      </c>
    </row>
    <row r="167" spans="1:5" s="77" customFormat="1" ht="12" customHeight="1">
      <c r="A167" s="937"/>
      <c r="B167" s="942"/>
      <c r="C167" s="916">
        <v>1319</v>
      </c>
      <c r="D167" s="959"/>
      <c r="E167" s="917"/>
    </row>
    <row r="168" spans="1:5" s="77" customFormat="1" ht="12" customHeight="1">
      <c r="A168" s="949"/>
      <c r="B168" s="943"/>
      <c r="C168" s="924" t="s">
        <v>1747</v>
      </c>
      <c r="D168" s="954"/>
      <c r="E168" s="915">
        <v>0</v>
      </c>
    </row>
    <row r="169" spans="1:5" s="77" customFormat="1" ht="12" customHeight="1">
      <c r="A169" s="949"/>
      <c r="B169" s="943"/>
      <c r="C169" s="924"/>
      <c r="D169" s="969"/>
      <c r="E169" s="915">
        <v>0</v>
      </c>
    </row>
    <row r="170" spans="1:5" s="77" customFormat="1" ht="12" customHeight="1">
      <c r="A170" s="934">
        <v>2200</v>
      </c>
      <c r="B170" s="945"/>
      <c r="C170" s="916"/>
      <c r="D170" s="959"/>
      <c r="E170" s="917"/>
    </row>
    <row r="171" spans="1:5" s="77" customFormat="1" ht="20.25" customHeight="1">
      <c r="A171" s="940" t="s">
        <v>1748</v>
      </c>
      <c r="B171" s="935"/>
      <c r="C171" s="913"/>
      <c r="D171" s="955"/>
      <c r="E171" s="911">
        <v>0</v>
      </c>
    </row>
    <row r="172" spans="1:5" ht="14.25">
      <c r="A172" s="943"/>
      <c r="B172" s="945">
        <v>2220</v>
      </c>
      <c r="C172" s="916"/>
      <c r="D172" s="959"/>
      <c r="E172" s="917"/>
    </row>
    <row r="173" spans="1:5" ht="24">
      <c r="A173" s="943"/>
      <c r="B173" s="940" t="s">
        <v>1749</v>
      </c>
      <c r="C173" s="913"/>
      <c r="D173" s="953"/>
      <c r="E173" s="922">
        <v>0</v>
      </c>
    </row>
    <row r="174" spans="1:5" ht="14.25">
      <c r="A174" s="943"/>
      <c r="B174" s="942"/>
      <c r="C174" s="916">
        <v>2221</v>
      </c>
      <c r="D174" s="964"/>
      <c r="E174" s="923"/>
    </row>
    <row r="175" spans="1:5" ht="14.25">
      <c r="A175" s="943"/>
      <c r="B175" s="940"/>
      <c r="C175" s="924" t="s">
        <v>1750</v>
      </c>
      <c r="D175" s="952"/>
      <c r="E175" s="925">
        <v>0</v>
      </c>
    </row>
    <row r="176" spans="1:5" ht="14.25">
      <c r="A176" s="944"/>
      <c r="B176" s="935"/>
      <c r="C176" s="913"/>
      <c r="D176" s="953"/>
      <c r="E176" s="922">
        <v>0</v>
      </c>
    </row>
    <row r="177" spans="1:5" ht="14.25">
      <c r="A177" s="947" t="s">
        <v>1751</v>
      </c>
      <c r="B177" s="945"/>
      <c r="C177" s="916"/>
      <c r="D177" s="964"/>
      <c r="E177" s="923">
        <v>121197000</v>
      </c>
    </row>
    <row r="178" spans="1:5" ht="14.25">
      <c r="A178" s="943"/>
      <c r="B178" s="945">
        <v>1100</v>
      </c>
      <c r="C178" s="918"/>
      <c r="D178" s="972"/>
      <c r="E178" s="919"/>
    </row>
    <row r="179" spans="1:5" ht="14.25">
      <c r="A179" s="943"/>
      <c r="B179" s="940" t="s">
        <v>1752</v>
      </c>
      <c r="C179" s="913"/>
      <c r="D179" s="953"/>
      <c r="E179" s="922">
        <v>121197000</v>
      </c>
    </row>
    <row r="180" spans="1:5" ht="14.25">
      <c r="A180" s="943"/>
      <c r="B180" s="942"/>
      <c r="C180" s="916">
        <v>1110</v>
      </c>
      <c r="D180" s="964"/>
      <c r="E180" s="923"/>
    </row>
    <row r="181" spans="1:5" ht="14.25">
      <c r="A181" s="943"/>
      <c r="B181" s="943"/>
      <c r="C181" s="924" t="s">
        <v>1752</v>
      </c>
      <c r="D181" s="952"/>
      <c r="E181" s="925">
        <v>121197000</v>
      </c>
    </row>
    <row r="182" spans="1:5" ht="14.25">
      <c r="A182" s="943"/>
      <c r="B182" s="943"/>
      <c r="C182" s="924"/>
      <c r="D182" s="952" t="s">
        <v>1752</v>
      </c>
      <c r="E182" s="925">
        <v>121197000</v>
      </c>
    </row>
    <row r="183" spans="1:5" ht="19.5" customHeight="1">
      <c r="A183" s="991" t="s">
        <v>1645</v>
      </c>
      <c r="B183" s="991"/>
      <c r="C183" s="991"/>
      <c r="D183" s="931"/>
      <c r="E183" s="971">
        <f>E177+E170+E161+E146+E139+E125+E37+E7</f>
        <v>11140119000</v>
      </c>
    </row>
  </sheetData>
  <mergeCells count="6">
    <mergeCell ref="A183:C183"/>
    <mergeCell ref="A1:E1"/>
    <mergeCell ref="A2:E2"/>
    <mergeCell ref="A3:E3"/>
    <mergeCell ref="A4:C4"/>
    <mergeCell ref="E4:E5"/>
  </mergeCells>
  <printOptions horizontalCentered="1"/>
  <pageMargins left="0.4724409448818898" right="0.4330708661417323" top="0.8267716535433072" bottom="0.5511811023622047" header="0.6692913385826772" footer="0.2755905511811024"/>
  <pageSetup horizontalDpi="600" verticalDpi="600" orientation="landscape" paperSize="9" r:id="rId2"/>
  <headerFooter alignWithMargins="0">
    <oddHeader>&amp;L&amp;"새굴림,보통"&amp;9&lt;별지제2호서식&gt;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22"/>
  <sheetViews>
    <sheetView workbookViewId="0" topLeftCell="A1">
      <selection activeCell="K27" sqref="K27"/>
    </sheetView>
  </sheetViews>
  <sheetFormatPr defaultColWidth="9.00390625" defaultRowHeight="14.25"/>
  <cols>
    <col min="1" max="16384" width="9.00390625" style="70" customWidth="1"/>
  </cols>
  <sheetData>
    <row r="10" spans="1:13" ht="48" customHeight="1">
      <c r="A10" s="1036" t="s">
        <v>1656</v>
      </c>
      <c r="B10" s="1036"/>
      <c r="C10" s="1036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</row>
    <row r="22" spans="1:13" ht="30.75" customHeight="1">
      <c r="A22" s="1037" t="s">
        <v>279</v>
      </c>
      <c r="B22" s="1037"/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</row>
  </sheetData>
  <mergeCells count="2">
    <mergeCell ref="A10:M10"/>
    <mergeCell ref="A22:M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F34" sqref="F34"/>
    </sheetView>
  </sheetViews>
  <sheetFormatPr defaultColWidth="9.00390625" defaultRowHeight="14.25"/>
  <cols>
    <col min="1" max="16384" width="9.00390625" style="70" customWidth="1"/>
  </cols>
  <sheetData>
    <row r="9" ht="49.5" customHeight="1"/>
    <row r="10" spans="1:91" ht="51" customHeight="1">
      <c r="A10" s="990" t="s">
        <v>287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</sheetData>
  <mergeCells count="1"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zoomScale="90" zoomScaleNormal="90" workbookViewId="0" topLeftCell="A1">
      <pane ySplit="22" topLeftCell="A188" activePane="bottomLeft" state="frozen"/>
      <selection pane="bottomLeft" activeCell="Q19" sqref="Q19"/>
    </sheetView>
  </sheetViews>
  <sheetFormatPr defaultColWidth="9.00390625" defaultRowHeight="14.25"/>
  <cols>
    <col min="1" max="1" width="4.625" style="3" customWidth="1"/>
    <col min="2" max="2" width="6.125" style="3" customWidth="1"/>
    <col min="3" max="3" width="20.125" style="3" customWidth="1"/>
    <col min="4" max="4" width="14.125" style="3" customWidth="1"/>
    <col min="5" max="5" width="15.25390625" style="3" customWidth="1"/>
    <col min="6" max="9" width="14.125" style="3" customWidth="1"/>
    <col min="10" max="10" width="4.625" style="3" customWidth="1"/>
    <col min="11" max="11" width="6.125" style="3" customWidth="1"/>
    <col min="12" max="12" width="20.50390625" style="3" customWidth="1"/>
    <col min="13" max="13" width="14.125" style="3" customWidth="1"/>
    <col min="14" max="14" width="15.875" style="3" customWidth="1"/>
    <col min="15" max="18" width="14.125" style="3" customWidth="1"/>
    <col min="19" max="16384" width="9.00390625" style="3" customWidth="1"/>
  </cols>
  <sheetData>
    <row r="1" spans="1:18" ht="33.75">
      <c r="A1" s="1070" t="s">
        <v>1657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</row>
    <row r="2" ht="15" thickBot="1">
      <c r="R2" s="213" t="s">
        <v>621</v>
      </c>
    </row>
    <row r="3" spans="1:18" s="214" customFormat="1" ht="16.5">
      <c r="A3" s="1047" t="s">
        <v>622</v>
      </c>
      <c r="B3" s="1048"/>
      <c r="C3" s="1048"/>
      <c r="D3" s="1038" t="s">
        <v>623</v>
      </c>
      <c r="E3" s="1038"/>
      <c r="F3" s="1038"/>
      <c r="G3" s="1038"/>
      <c r="H3" s="1038"/>
      <c r="I3" s="1038"/>
      <c r="J3" s="1051" t="s">
        <v>622</v>
      </c>
      <c r="K3" s="1038"/>
      <c r="L3" s="1038"/>
      <c r="M3" s="1038" t="s">
        <v>623</v>
      </c>
      <c r="N3" s="1038"/>
      <c r="O3" s="1038"/>
      <c r="P3" s="1038"/>
      <c r="Q3" s="1038"/>
      <c r="R3" s="1039"/>
    </row>
    <row r="4" spans="1:18" s="214" customFormat="1" ht="36.75" customHeight="1" thickBot="1">
      <c r="A4" s="1049"/>
      <c r="B4" s="1050"/>
      <c r="C4" s="1050"/>
      <c r="D4" s="215" t="s">
        <v>1662</v>
      </c>
      <c r="E4" s="215" t="s">
        <v>1659</v>
      </c>
      <c r="F4" s="215" t="s">
        <v>900</v>
      </c>
      <c r="G4" s="215" t="s">
        <v>1660</v>
      </c>
      <c r="H4" s="215" t="s">
        <v>1016</v>
      </c>
      <c r="I4" s="215" t="s">
        <v>624</v>
      </c>
      <c r="J4" s="1052"/>
      <c r="K4" s="1053"/>
      <c r="L4" s="1053"/>
      <c r="M4" s="215" t="s">
        <v>1662</v>
      </c>
      <c r="N4" s="215" t="s">
        <v>1663</v>
      </c>
      <c r="O4" s="215" t="s">
        <v>900</v>
      </c>
      <c r="P4" s="215" t="s">
        <v>1660</v>
      </c>
      <c r="Q4" s="215" t="s">
        <v>1016</v>
      </c>
      <c r="R4" s="215" t="s">
        <v>624</v>
      </c>
    </row>
    <row r="5" spans="1:18" s="214" customFormat="1" ht="18.95" customHeight="1" thickTop="1">
      <c r="A5" s="1040" t="s">
        <v>625</v>
      </c>
      <c r="B5" s="1041"/>
      <c r="C5" s="1041"/>
      <c r="D5" s="218">
        <f>D23</f>
        <v>143863508</v>
      </c>
      <c r="E5" s="218">
        <f aca="true" t="shared" si="0" ref="E5:F5">E23</f>
        <v>8048293</v>
      </c>
      <c r="F5" s="218">
        <f t="shared" si="0"/>
        <v>0</v>
      </c>
      <c r="G5" s="218">
        <f>D5+E5-F5</f>
        <v>151911801</v>
      </c>
      <c r="H5" s="218">
        <f>H23</f>
        <v>153826441</v>
      </c>
      <c r="I5" s="625">
        <f>G5-H5</f>
        <v>-1914640</v>
      </c>
      <c r="J5" s="1042" t="s">
        <v>626</v>
      </c>
      <c r="K5" s="1043"/>
      <c r="L5" s="1043"/>
      <c r="M5" s="219">
        <f>M23</f>
        <v>86089342</v>
      </c>
      <c r="N5" s="219">
        <f>N23</f>
        <v>17159841</v>
      </c>
      <c r="O5" s="219">
        <f>O23</f>
        <v>0</v>
      </c>
      <c r="P5" s="219">
        <f>M5+N5-O5</f>
        <v>103249183</v>
      </c>
      <c r="Q5" s="219">
        <f>Q23</f>
        <v>101161771</v>
      </c>
      <c r="R5" s="626">
        <f>P5-Q5</f>
        <v>2087412</v>
      </c>
    </row>
    <row r="6" spans="1:18" s="214" customFormat="1" ht="18.95" customHeight="1">
      <c r="A6" s="1056" t="s">
        <v>627</v>
      </c>
      <c r="B6" s="1055"/>
      <c r="C6" s="1055"/>
      <c r="D6" s="220">
        <f>D38</f>
        <v>0</v>
      </c>
      <c r="E6" s="220">
        <f aca="true" t="shared" si="1" ref="E6:F6">E38</f>
        <v>51297350</v>
      </c>
      <c r="F6" s="220">
        <f t="shared" si="1"/>
        <v>0</v>
      </c>
      <c r="G6" s="220">
        <f>D6+E6-F6</f>
        <v>51297350</v>
      </c>
      <c r="H6" s="220">
        <f>H38</f>
        <v>41539363</v>
      </c>
      <c r="I6" s="563">
        <f>G6-H6</f>
        <v>9757987</v>
      </c>
      <c r="J6" s="1054" t="s">
        <v>628</v>
      </c>
      <c r="K6" s="1055"/>
      <c r="L6" s="1055"/>
      <c r="M6" s="221">
        <f>M51</f>
        <v>13166224</v>
      </c>
      <c r="N6" s="221">
        <f aca="true" t="shared" si="2" ref="N6:O6">N51</f>
        <v>13805916</v>
      </c>
      <c r="O6" s="221">
        <f t="shared" si="2"/>
        <v>0</v>
      </c>
      <c r="P6" s="221">
        <f>M6+N6-O6</f>
        <v>26972140</v>
      </c>
      <c r="Q6" s="221">
        <f>Q51</f>
        <v>28597308</v>
      </c>
      <c r="R6" s="627">
        <f>P6-Q6</f>
        <v>-1625168</v>
      </c>
    </row>
    <row r="7" spans="1:18" s="214" customFormat="1" ht="18.95" customHeight="1">
      <c r="A7" s="1056" t="s">
        <v>629</v>
      </c>
      <c r="B7" s="1055"/>
      <c r="C7" s="1055"/>
      <c r="D7" s="220">
        <f>D83</f>
        <v>0</v>
      </c>
      <c r="E7" s="220">
        <f aca="true" t="shared" si="3" ref="E7:F7">E83</f>
        <v>16853572</v>
      </c>
      <c r="F7" s="491">
        <f t="shared" si="3"/>
        <v>0</v>
      </c>
      <c r="G7" s="220">
        <f aca="true" t="shared" si="4" ref="G7:G8">D7+E7-F7</f>
        <v>16853572</v>
      </c>
      <c r="H7" s="220">
        <f>H83</f>
        <v>19679278</v>
      </c>
      <c r="I7" s="563">
        <f>G7-H7</f>
        <v>-2825706</v>
      </c>
      <c r="J7" s="1054" t="s">
        <v>630</v>
      </c>
      <c r="K7" s="1055"/>
      <c r="L7" s="1055"/>
      <c r="M7" s="221">
        <f>M83</f>
        <v>39758594</v>
      </c>
      <c r="N7" s="221">
        <f aca="true" t="shared" si="5" ref="N7:O7">N83</f>
        <v>40610916</v>
      </c>
      <c r="O7" s="221">
        <f t="shared" si="5"/>
        <v>0</v>
      </c>
      <c r="P7" s="221">
        <f aca="true" t="shared" si="6" ref="P7:P10">M7+N7-O7</f>
        <v>80369510</v>
      </c>
      <c r="Q7" s="221">
        <f>Q83</f>
        <v>69735163</v>
      </c>
      <c r="R7" s="627">
        <f aca="true" t="shared" si="7" ref="R7:R10">P7-Q7</f>
        <v>10634347</v>
      </c>
    </row>
    <row r="8" spans="1:18" s="214" customFormat="1" ht="18.95" customHeight="1">
      <c r="A8" s="1056" t="s">
        <v>631</v>
      </c>
      <c r="B8" s="1055"/>
      <c r="C8" s="1055"/>
      <c r="D8" s="220">
        <f>D97</f>
        <v>550000</v>
      </c>
      <c r="E8" s="220">
        <f aca="true" t="shared" si="8" ref="E8:F8">E97</f>
        <v>2746788</v>
      </c>
      <c r="F8" s="220">
        <f t="shared" si="8"/>
        <v>0</v>
      </c>
      <c r="G8" s="220">
        <f t="shared" si="4"/>
        <v>3296788</v>
      </c>
      <c r="H8" s="220">
        <f>H97</f>
        <v>3320788</v>
      </c>
      <c r="I8" s="563">
        <f>G8-H8</f>
        <v>-24000</v>
      </c>
      <c r="J8" s="1054" t="s">
        <v>632</v>
      </c>
      <c r="K8" s="1055"/>
      <c r="L8" s="1055"/>
      <c r="M8" s="221">
        <f>M97</f>
        <v>210000</v>
      </c>
      <c r="N8" s="221">
        <f aca="true" t="shared" si="9" ref="N8:O8">N97</f>
        <v>1864916</v>
      </c>
      <c r="O8" s="221">
        <f t="shared" si="9"/>
        <v>0</v>
      </c>
      <c r="P8" s="221">
        <f t="shared" si="6"/>
        <v>2074916</v>
      </c>
      <c r="Q8" s="221">
        <f>Q97</f>
        <v>1113360</v>
      </c>
      <c r="R8" s="627">
        <f t="shared" si="7"/>
        <v>961556</v>
      </c>
    </row>
    <row r="9" spans="1:18" s="214" customFormat="1" ht="18.95" customHeight="1">
      <c r="A9" s="1057"/>
      <c r="B9" s="1058"/>
      <c r="C9" s="1058"/>
      <c r="D9" s="1058"/>
      <c r="E9" s="1058"/>
      <c r="F9" s="1058"/>
      <c r="G9" s="1058"/>
      <c r="H9" s="1058"/>
      <c r="I9" s="1059"/>
      <c r="J9" s="1054" t="s">
        <v>633</v>
      </c>
      <c r="K9" s="1055"/>
      <c r="L9" s="1055"/>
      <c r="M9" s="221">
        <f>M103</f>
        <v>0</v>
      </c>
      <c r="N9" s="221">
        <f aca="true" t="shared" si="10" ref="N9:O9">N103</f>
        <v>0</v>
      </c>
      <c r="O9" s="221">
        <f t="shared" si="10"/>
        <v>0</v>
      </c>
      <c r="P9" s="221">
        <f t="shared" si="6"/>
        <v>0</v>
      </c>
      <c r="Q9" s="221">
        <f>Q103</f>
        <v>0</v>
      </c>
      <c r="R9" s="627">
        <f t="shared" si="7"/>
        <v>0</v>
      </c>
    </row>
    <row r="10" spans="1:18" s="214" customFormat="1" ht="18.95" customHeight="1">
      <c r="A10" s="1057"/>
      <c r="B10" s="1058"/>
      <c r="C10" s="1058"/>
      <c r="D10" s="1058"/>
      <c r="E10" s="1058"/>
      <c r="F10" s="1058"/>
      <c r="G10" s="1058"/>
      <c r="H10" s="1058"/>
      <c r="I10" s="1059"/>
      <c r="J10" s="1054" t="s">
        <v>634</v>
      </c>
      <c r="K10" s="1055"/>
      <c r="L10" s="1055"/>
      <c r="M10" s="221">
        <f>M111</f>
        <v>0</v>
      </c>
      <c r="N10" s="221">
        <f aca="true" t="shared" si="11" ref="N10:O10">N111</f>
        <v>3053623</v>
      </c>
      <c r="O10" s="221">
        <f t="shared" si="11"/>
        <v>0</v>
      </c>
      <c r="P10" s="221">
        <f t="shared" si="6"/>
        <v>3053623</v>
      </c>
      <c r="Q10" s="221">
        <f>Q111</f>
        <v>3102059</v>
      </c>
      <c r="R10" s="627">
        <f t="shared" si="7"/>
        <v>-48436</v>
      </c>
    </row>
    <row r="11" spans="1:18" s="214" customFormat="1" ht="18.95" customHeight="1">
      <c r="A11" s="1044" t="s">
        <v>635</v>
      </c>
      <c r="B11" s="1045"/>
      <c r="C11" s="1045"/>
      <c r="D11" s="222">
        <f>D5+D6+D7+D8</f>
        <v>144413508</v>
      </c>
      <c r="E11" s="222">
        <f aca="true" t="shared" si="12" ref="E11">E5+E6+E7+E8</f>
        <v>78946003</v>
      </c>
      <c r="F11" s="222">
        <f>F5+F6+F7+F8</f>
        <v>0</v>
      </c>
      <c r="G11" s="222">
        <f>D11+E11-F11</f>
        <v>223359511</v>
      </c>
      <c r="H11" s="222">
        <f>H5+H6+H7+H8</f>
        <v>218365870</v>
      </c>
      <c r="I11" s="564">
        <f aca="true" t="shared" si="13" ref="I11:I19">G11-H11</f>
        <v>4993641</v>
      </c>
      <c r="J11" s="1046" t="s">
        <v>636</v>
      </c>
      <c r="K11" s="1045"/>
      <c r="L11" s="1045"/>
      <c r="M11" s="223">
        <f>M5+M6+M7+M8+M9+M10</f>
        <v>139224160</v>
      </c>
      <c r="N11" s="223">
        <f aca="true" t="shared" si="14" ref="N11:O11">N5+N6+N7+N8+N9+N10</f>
        <v>76495212</v>
      </c>
      <c r="O11" s="223">
        <f t="shared" si="14"/>
        <v>0</v>
      </c>
      <c r="P11" s="223">
        <f>M11+N11-O11</f>
        <v>215719372</v>
      </c>
      <c r="Q11" s="223">
        <f>Q5+Q6+Q7+Q8+Q9+Q10</f>
        <v>203709661</v>
      </c>
      <c r="R11" s="628">
        <f>P11-Q11</f>
        <v>12009711</v>
      </c>
    </row>
    <row r="12" spans="1:18" s="214" customFormat="1" ht="18.95" customHeight="1">
      <c r="A12" s="1057" t="s">
        <v>637</v>
      </c>
      <c r="B12" s="1058"/>
      <c r="C12" s="1058"/>
      <c r="D12" s="220">
        <f>D115</f>
        <v>0</v>
      </c>
      <c r="E12" s="220">
        <f>E115</f>
        <v>31093664</v>
      </c>
      <c r="F12" s="220">
        <f aca="true" t="shared" si="15" ref="F12">F115</f>
        <v>0</v>
      </c>
      <c r="G12" s="220">
        <f aca="true" t="shared" si="16" ref="G12:G19">D12+E12-F12</f>
        <v>31093664</v>
      </c>
      <c r="H12" s="220">
        <f>H115</f>
        <v>22568831</v>
      </c>
      <c r="I12" s="565">
        <f t="shared" si="13"/>
        <v>8524833</v>
      </c>
      <c r="J12" s="1075" t="s">
        <v>638</v>
      </c>
      <c r="K12" s="1058"/>
      <c r="L12" s="1058"/>
      <c r="M12" s="221">
        <f>M115</f>
        <v>0</v>
      </c>
      <c r="N12" s="221">
        <f aca="true" t="shared" si="17" ref="N12:O12">N115</f>
        <v>13224421</v>
      </c>
      <c r="O12" s="221">
        <f t="shared" si="17"/>
        <v>0</v>
      </c>
      <c r="P12" s="221">
        <f>M12+N12-O12</f>
        <v>13224421</v>
      </c>
      <c r="Q12" s="221">
        <f>Q115</f>
        <v>13128912</v>
      </c>
      <c r="R12" s="627">
        <f>P12-Q12</f>
        <v>95509</v>
      </c>
    </row>
    <row r="13" spans="1:18" s="214" customFormat="1" ht="18.95" customHeight="1">
      <c r="A13" s="1057" t="s">
        <v>639</v>
      </c>
      <c r="B13" s="1058"/>
      <c r="C13" s="1058"/>
      <c r="D13" s="220">
        <f>D137</f>
        <v>0</v>
      </c>
      <c r="E13" s="220">
        <f aca="true" t="shared" si="18" ref="E13">E137</f>
        <v>499757</v>
      </c>
      <c r="F13" s="220">
        <f>F137</f>
        <v>0</v>
      </c>
      <c r="G13" s="220">
        <f>D13+E13-F13</f>
        <v>499757</v>
      </c>
      <c r="H13" s="220">
        <f>H137</f>
        <v>0</v>
      </c>
      <c r="I13" s="565">
        <f t="shared" si="13"/>
        <v>499757</v>
      </c>
      <c r="J13" s="1075" t="s">
        <v>640</v>
      </c>
      <c r="K13" s="1058"/>
      <c r="L13" s="1058"/>
      <c r="M13" s="221">
        <f>M137</f>
        <v>5189348</v>
      </c>
      <c r="N13" s="221">
        <f aca="true" t="shared" si="19" ref="N13:O13">N137</f>
        <v>23035457</v>
      </c>
      <c r="O13" s="221">
        <f t="shared" si="19"/>
        <v>0</v>
      </c>
      <c r="P13" s="221">
        <f aca="true" t="shared" si="20" ref="P13:P15">M13+N13-O13</f>
        <v>28224805</v>
      </c>
      <c r="Q13" s="221">
        <f>Q137</f>
        <v>24765297</v>
      </c>
      <c r="R13" s="627">
        <f aca="true" t="shared" si="21" ref="R13:R15">P13-Q13</f>
        <v>3459508</v>
      </c>
    </row>
    <row r="14" spans="1:18" s="214" customFormat="1" ht="18.95" customHeight="1">
      <c r="A14" s="1057" t="s">
        <v>641</v>
      </c>
      <c r="B14" s="1058"/>
      <c r="C14" s="1058"/>
      <c r="D14" s="220">
        <f>D150</f>
        <v>0</v>
      </c>
      <c r="E14" s="220">
        <f aca="true" t="shared" si="22" ref="E14:F14">E150</f>
        <v>0</v>
      </c>
      <c r="F14" s="220">
        <f t="shared" si="22"/>
        <v>0</v>
      </c>
      <c r="G14" s="220">
        <f>D14+E14-F14</f>
        <v>0</v>
      </c>
      <c r="H14" s="220">
        <f>H150</f>
        <v>0</v>
      </c>
      <c r="I14" s="565">
        <f>G14-H14</f>
        <v>0</v>
      </c>
      <c r="J14" s="1075" t="s">
        <v>642</v>
      </c>
      <c r="K14" s="1058"/>
      <c r="L14" s="1058"/>
      <c r="M14" s="221">
        <f>M150</f>
        <v>0</v>
      </c>
      <c r="N14" s="221">
        <f aca="true" t="shared" si="23" ref="N14:O14">N150</f>
        <v>0</v>
      </c>
      <c r="O14" s="221">
        <f t="shared" si="23"/>
        <v>0</v>
      </c>
      <c r="P14" s="221">
        <f t="shared" si="20"/>
        <v>0</v>
      </c>
      <c r="Q14" s="221">
        <f>Q150</f>
        <v>0</v>
      </c>
      <c r="R14" s="627">
        <f t="shared" si="21"/>
        <v>0</v>
      </c>
    </row>
    <row r="15" spans="1:18" s="214" customFormat="1" ht="18.95" customHeight="1">
      <c r="A15" s="1057" t="s">
        <v>643</v>
      </c>
      <c r="B15" s="1058"/>
      <c r="C15" s="1058"/>
      <c r="D15" s="220">
        <f>D153</f>
        <v>0</v>
      </c>
      <c r="E15" s="220">
        <f aca="true" t="shared" si="24" ref="E15:F15">E153</f>
        <v>78525</v>
      </c>
      <c r="F15" s="220">
        <f t="shared" si="24"/>
        <v>0</v>
      </c>
      <c r="G15" s="220">
        <f t="shared" si="16"/>
        <v>78525</v>
      </c>
      <c r="H15" s="220">
        <f>H153</f>
        <v>78525</v>
      </c>
      <c r="I15" s="565">
        <f t="shared" si="13"/>
        <v>0</v>
      </c>
      <c r="J15" s="1075" t="s">
        <v>644</v>
      </c>
      <c r="K15" s="1058"/>
      <c r="L15" s="1058"/>
      <c r="M15" s="221">
        <f>M153</f>
        <v>0</v>
      </c>
      <c r="N15" s="221">
        <f aca="true" t="shared" si="25" ref="N15:O15">N153</f>
        <v>2969831</v>
      </c>
      <c r="O15" s="221">
        <f t="shared" si="25"/>
        <v>0</v>
      </c>
      <c r="P15" s="221">
        <f t="shared" si="20"/>
        <v>2969831</v>
      </c>
      <c r="Q15" s="221">
        <f>Q153</f>
        <v>2813311</v>
      </c>
      <c r="R15" s="627">
        <f t="shared" si="21"/>
        <v>156520</v>
      </c>
    </row>
    <row r="16" spans="1:18" s="214" customFormat="1" ht="18.95" customHeight="1">
      <c r="A16" s="1057" t="s">
        <v>645</v>
      </c>
      <c r="B16" s="1058"/>
      <c r="C16" s="1058"/>
      <c r="D16" s="220">
        <f>D162</f>
        <v>0</v>
      </c>
      <c r="E16" s="220">
        <f aca="true" t="shared" si="26" ref="E16:F16">E162</f>
        <v>0</v>
      </c>
      <c r="F16" s="220">
        <f t="shared" si="26"/>
        <v>0</v>
      </c>
      <c r="G16" s="220">
        <f t="shared" si="16"/>
        <v>0</v>
      </c>
      <c r="H16" s="220">
        <f>H162</f>
        <v>0</v>
      </c>
      <c r="I16" s="565">
        <f t="shared" si="13"/>
        <v>0</v>
      </c>
      <c r="J16" s="1064"/>
      <c r="K16" s="1065"/>
      <c r="L16" s="1065"/>
      <c r="M16" s="1065"/>
      <c r="N16" s="1065"/>
      <c r="O16" s="1065"/>
      <c r="P16" s="1065"/>
      <c r="Q16" s="1065"/>
      <c r="R16" s="1066"/>
    </row>
    <row r="17" spans="1:18" s="214" customFormat="1" ht="18.95" customHeight="1">
      <c r="A17" s="1044" t="s">
        <v>646</v>
      </c>
      <c r="B17" s="1045"/>
      <c r="C17" s="1045"/>
      <c r="D17" s="222">
        <f>D12+D13+D14+D15+D16</f>
        <v>0</v>
      </c>
      <c r="E17" s="222">
        <f aca="true" t="shared" si="27" ref="E17:F17">E12+E13+E14+E15+E16</f>
        <v>31671946</v>
      </c>
      <c r="F17" s="222">
        <f t="shared" si="27"/>
        <v>0</v>
      </c>
      <c r="G17" s="222">
        <f t="shared" si="16"/>
        <v>31671946</v>
      </c>
      <c r="H17" s="222">
        <f>H12+H13+H14+H15+H16</f>
        <v>22647356</v>
      </c>
      <c r="I17" s="564">
        <f t="shared" si="13"/>
        <v>9024590</v>
      </c>
      <c r="J17" s="1046" t="s">
        <v>647</v>
      </c>
      <c r="K17" s="1045"/>
      <c r="L17" s="1045"/>
      <c r="M17" s="223">
        <f>M12+M13+M14+M15</f>
        <v>5189348</v>
      </c>
      <c r="N17" s="223">
        <f aca="true" t="shared" si="28" ref="N17:O17">N12+N13+N14+N15</f>
        <v>39229709</v>
      </c>
      <c r="O17" s="223">
        <f t="shared" si="28"/>
        <v>0</v>
      </c>
      <c r="P17" s="223">
        <f>M17+N17-O17</f>
        <v>44419057</v>
      </c>
      <c r="Q17" s="223">
        <f>Q12+Q13+Q14+Q15</f>
        <v>40707520</v>
      </c>
      <c r="R17" s="628">
        <f>P17-Q17</f>
        <v>3711537</v>
      </c>
    </row>
    <row r="18" spans="1:18" s="214" customFormat="1" ht="18.95" customHeight="1">
      <c r="A18" s="1044" t="s">
        <v>648</v>
      </c>
      <c r="B18" s="1045"/>
      <c r="C18" s="1045"/>
      <c r="D18" s="222">
        <f>D166</f>
        <v>0</v>
      </c>
      <c r="E18" s="222">
        <f aca="true" t="shared" si="29" ref="E18:F18">E166</f>
        <v>5106972</v>
      </c>
      <c r="F18" s="222">
        <f t="shared" si="29"/>
        <v>0</v>
      </c>
      <c r="G18" s="222">
        <f t="shared" si="16"/>
        <v>5106972</v>
      </c>
      <c r="H18" s="222">
        <f>H166</f>
        <v>3403955</v>
      </c>
      <c r="I18" s="564">
        <f t="shared" si="13"/>
        <v>1703017</v>
      </c>
      <c r="J18" s="1046" t="s">
        <v>649</v>
      </c>
      <c r="K18" s="1045"/>
      <c r="L18" s="1045"/>
      <c r="M18" s="223">
        <f>M166</f>
        <v>0</v>
      </c>
      <c r="N18" s="223">
        <f aca="true" t="shared" si="30" ref="N18:O18">N166</f>
        <v>0</v>
      </c>
      <c r="O18" s="223">
        <f t="shared" si="30"/>
        <v>0</v>
      </c>
      <c r="P18" s="223">
        <f>M18+N18-O18</f>
        <v>0</v>
      </c>
      <c r="Q18" s="223">
        <f>Q166</f>
        <v>0</v>
      </c>
      <c r="R18" s="628">
        <f>P18-Q18</f>
        <v>0</v>
      </c>
    </row>
    <row r="19" spans="1:18" s="214" customFormat="1" ht="18.95" customHeight="1" thickBot="1">
      <c r="A19" s="1067" t="s">
        <v>650</v>
      </c>
      <c r="B19" s="1068"/>
      <c r="C19" s="1068"/>
      <c r="D19" s="224">
        <f>D11+D17+D18</f>
        <v>144413508</v>
      </c>
      <c r="E19" s="224">
        <f aca="true" t="shared" si="31" ref="E19:F19">E11+E17+E18</f>
        <v>115724921</v>
      </c>
      <c r="F19" s="224">
        <f t="shared" si="31"/>
        <v>0</v>
      </c>
      <c r="G19" s="224">
        <f t="shared" si="16"/>
        <v>260138429</v>
      </c>
      <c r="H19" s="224">
        <f>H11+H17+H18</f>
        <v>244417181</v>
      </c>
      <c r="I19" s="624">
        <f t="shared" si="13"/>
        <v>15721248</v>
      </c>
      <c r="J19" s="1069" t="s">
        <v>651</v>
      </c>
      <c r="K19" s="1068"/>
      <c r="L19" s="1068"/>
      <c r="M19" s="225">
        <f>M11+M17+M18</f>
        <v>144413508</v>
      </c>
      <c r="N19" s="225">
        <f aca="true" t="shared" si="32" ref="N19:O19">N11+N17+N18</f>
        <v>115724921</v>
      </c>
      <c r="O19" s="225">
        <f t="shared" si="32"/>
        <v>0</v>
      </c>
      <c r="P19" s="225">
        <f>M19+N19-O19</f>
        <v>260138429</v>
      </c>
      <c r="Q19" s="225">
        <f>Q11+Q17+Q18</f>
        <v>244417181</v>
      </c>
      <c r="R19" s="629">
        <f>P19-Q19</f>
        <v>15721248</v>
      </c>
    </row>
    <row r="20" spans="1:18" s="214" customFormat="1" ht="18.95" customHeight="1" thickBot="1">
      <c r="A20" s="226"/>
      <c r="B20" s="226"/>
      <c r="C20" s="226"/>
      <c r="D20" s="226"/>
      <c r="E20" s="226"/>
      <c r="F20" s="226"/>
      <c r="G20" s="226"/>
      <c r="H20" s="226"/>
      <c r="I20" s="226"/>
      <c r="R20" s="227" t="s">
        <v>413</v>
      </c>
    </row>
    <row r="21" spans="1:18" s="214" customFormat="1" ht="24" customHeight="1">
      <c r="A21" s="1047" t="s">
        <v>622</v>
      </c>
      <c r="B21" s="1048"/>
      <c r="C21" s="1048"/>
      <c r="D21" s="1038" t="s">
        <v>623</v>
      </c>
      <c r="E21" s="1038"/>
      <c r="F21" s="1038"/>
      <c r="G21" s="1038"/>
      <c r="H21" s="1038"/>
      <c r="I21" s="1038"/>
      <c r="J21" s="1051" t="s">
        <v>622</v>
      </c>
      <c r="K21" s="1038"/>
      <c r="L21" s="1038"/>
      <c r="M21" s="1038" t="s">
        <v>623</v>
      </c>
      <c r="N21" s="1038"/>
      <c r="O21" s="1038"/>
      <c r="P21" s="1038"/>
      <c r="Q21" s="1038"/>
      <c r="R21" s="1039"/>
    </row>
    <row r="22" spans="1:18" s="214" customFormat="1" ht="36" customHeight="1" thickBot="1">
      <c r="A22" s="1049"/>
      <c r="B22" s="1050"/>
      <c r="C22" s="1050"/>
      <c r="D22" s="215" t="s">
        <v>1658</v>
      </c>
      <c r="E22" s="215" t="s">
        <v>1659</v>
      </c>
      <c r="F22" s="215" t="s">
        <v>900</v>
      </c>
      <c r="G22" s="215" t="s">
        <v>1661</v>
      </c>
      <c r="H22" s="215" t="s">
        <v>1017</v>
      </c>
      <c r="I22" s="215" t="s">
        <v>624</v>
      </c>
      <c r="J22" s="1052"/>
      <c r="K22" s="1053"/>
      <c r="L22" s="1053"/>
      <c r="M22" s="216" t="s">
        <v>1658</v>
      </c>
      <c r="N22" s="216" t="s">
        <v>1664</v>
      </c>
      <c r="O22" s="215" t="s">
        <v>900</v>
      </c>
      <c r="P22" s="215" t="s">
        <v>1660</v>
      </c>
      <c r="Q22" s="216" t="s">
        <v>1017</v>
      </c>
      <c r="R22" s="217" t="s">
        <v>624</v>
      </c>
    </row>
    <row r="23" spans="1:18" s="214" customFormat="1" ht="18.95" customHeight="1" thickTop="1">
      <c r="A23" s="228" t="s">
        <v>414</v>
      </c>
      <c r="B23" s="229"/>
      <c r="C23" s="229"/>
      <c r="D23" s="230">
        <f>D24+D29</f>
        <v>143863508</v>
      </c>
      <c r="E23" s="230">
        <f aca="true" t="shared" si="33" ref="E23:F23">E24+E29</f>
        <v>8048293</v>
      </c>
      <c r="F23" s="230">
        <f t="shared" si="33"/>
        <v>0</v>
      </c>
      <c r="G23" s="230">
        <f>D23+E23-F23</f>
        <v>151911801</v>
      </c>
      <c r="H23" s="230">
        <f>H24+H29</f>
        <v>153826441</v>
      </c>
      <c r="I23" s="639">
        <f>G23-H23</f>
        <v>-1914640</v>
      </c>
      <c r="J23" s="231" t="s">
        <v>415</v>
      </c>
      <c r="K23" s="229"/>
      <c r="L23" s="229"/>
      <c r="M23" s="230">
        <f>M24+M38</f>
        <v>86089342</v>
      </c>
      <c r="N23" s="230">
        <f aca="true" t="shared" si="34" ref="N23:O23">N24+N38</f>
        <v>17159841</v>
      </c>
      <c r="O23" s="230">
        <f t="shared" si="34"/>
        <v>0</v>
      </c>
      <c r="P23" s="230">
        <f>M23+N23-O23</f>
        <v>103249183</v>
      </c>
      <c r="Q23" s="230">
        <f>Q24+Q38</f>
        <v>101161771</v>
      </c>
      <c r="R23" s="630">
        <f>P23-Q23</f>
        <v>2087412</v>
      </c>
    </row>
    <row r="24" spans="1:18" s="214" customFormat="1" ht="18.95" customHeight="1">
      <c r="A24" s="232"/>
      <c r="B24" s="233" t="s">
        <v>416</v>
      </c>
      <c r="C24" s="233"/>
      <c r="D24" s="234">
        <f>SUM(D25:D28)</f>
        <v>143863508</v>
      </c>
      <c r="E24" s="234">
        <f aca="true" t="shared" si="35" ref="E24">SUM(E25:E28)</f>
        <v>0</v>
      </c>
      <c r="F24" s="234">
        <f>SUM(F25:F28)</f>
        <v>0</v>
      </c>
      <c r="G24" s="234">
        <f>SUM(G25:G28)</f>
        <v>143863508</v>
      </c>
      <c r="H24" s="234">
        <f>SUM(H25:H28)</f>
        <v>146465310</v>
      </c>
      <c r="I24" s="640">
        <f aca="true" t="shared" si="36" ref="I24:I30">G24-H24</f>
        <v>-2601802</v>
      </c>
      <c r="J24" s="235"/>
      <c r="K24" s="233" t="s">
        <v>417</v>
      </c>
      <c r="L24" s="233"/>
      <c r="M24" s="234">
        <f>M25+M26+M27+M28+M34+M35+M36+M37</f>
        <v>70648345</v>
      </c>
      <c r="N24" s="234">
        <f aca="true" t="shared" si="37" ref="N24:O24">N25+N26+N27+N28+N34+N35+N36+N37</f>
        <v>10104419</v>
      </c>
      <c r="O24" s="234">
        <f t="shared" si="37"/>
        <v>0</v>
      </c>
      <c r="P24" s="234">
        <f>M24+N24-O24</f>
        <v>80752764</v>
      </c>
      <c r="Q24" s="234">
        <f>Q25+Q26+Q27+Q28+Q34+Q35+Q36+Q37</f>
        <v>78551047</v>
      </c>
      <c r="R24" s="631">
        <f aca="true" t="shared" si="38" ref="R24:R33">P24-Q24</f>
        <v>2201717</v>
      </c>
    </row>
    <row r="25" spans="1:18" s="214" customFormat="1" ht="18.95" customHeight="1">
      <c r="A25" s="232"/>
      <c r="B25" s="235"/>
      <c r="C25" s="236" t="s">
        <v>652</v>
      </c>
      <c r="D25" s="237">
        <v>4125679</v>
      </c>
      <c r="E25" s="237"/>
      <c r="F25" s="237"/>
      <c r="G25" s="266">
        <f>D25+E25-F25</f>
        <v>4125679</v>
      </c>
      <c r="H25" s="237">
        <v>4403611</v>
      </c>
      <c r="I25" s="641">
        <f t="shared" si="36"/>
        <v>-277932</v>
      </c>
      <c r="J25" s="235"/>
      <c r="K25" s="235"/>
      <c r="L25" s="236" t="s">
        <v>418</v>
      </c>
      <c r="M25" s="237">
        <v>29615703</v>
      </c>
      <c r="N25" s="237">
        <f>2817476+72000</f>
        <v>2889476</v>
      </c>
      <c r="O25" s="238"/>
      <c r="P25" s="237">
        <f>M25+N25-O25</f>
        <v>32505179</v>
      </c>
      <c r="Q25" s="237">
        <v>31374005</v>
      </c>
      <c r="R25" s="632">
        <f t="shared" si="38"/>
        <v>1131174</v>
      </c>
    </row>
    <row r="26" spans="1:18" s="214" customFormat="1" ht="18.95" customHeight="1">
      <c r="A26" s="232"/>
      <c r="B26" s="235"/>
      <c r="C26" s="236" t="s">
        <v>653</v>
      </c>
      <c r="D26" s="237">
        <v>1375619</v>
      </c>
      <c r="E26" s="237"/>
      <c r="F26" s="238"/>
      <c r="G26" s="266">
        <f>D26+E26-F26</f>
        <v>1375619</v>
      </c>
      <c r="H26" s="237">
        <v>1416866</v>
      </c>
      <c r="I26" s="641">
        <f t="shared" si="36"/>
        <v>-41247</v>
      </c>
      <c r="J26" s="235"/>
      <c r="K26" s="235"/>
      <c r="L26" s="236" t="s">
        <v>419</v>
      </c>
      <c r="M26" s="237">
        <v>19412197</v>
      </c>
      <c r="N26" s="237">
        <v>358744</v>
      </c>
      <c r="O26" s="238"/>
      <c r="P26" s="237">
        <f aca="true" t="shared" si="39" ref="P26:P37">M26+N26-O26</f>
        <v>19770941</v>
      </c>
      <c r="Q26" s="237">
        <v>19087995</v>
      </c>
      <c r="R26" s="632">
        <f t="shared" si="38"/>
        <v>682946</v>
      </c>
    </row>
    <row r="27" spans="1:18" s="214" customFormat="1" ht="18.95" customHeight="1">
      <c r="A27" s="232"/>
      <c r="B27" s="235"/>
      <c r="C27" s="236" t="s">
        <v>654</v>
      </c>
      <c r="D27" s="237">
        <v>113141565</v>
      </c>
      <c r="E27" s="237"/>
      <c r="F27" s="238"/>
      <c r="G27" s="266">
        <f aca="true" t="shared" si="40" ref="G27:G28">D27+E27-F27</f>
        <v>113141565</v>
      </c>
      <c r="H27" s="237">
        <v>114323874</v>
      </c>
      <c r="I27" s="641">
        <f t="shared" si="36"/>
        <v>-1182309</v>
      </c>
      <c r="J27" s="235"/>
      <c r="K27" s="235"/>
      <c r="L27" s="236" t="s">
        <v>420</v>
      </c>
      <c r="M27" s="237">
        <v>9501156</v>
      </c>
      <c r="N27" s="237">
        <f>418471+32500+14000</f>
        <v>464971</v>
      </c>
      <c r="O27" s="238"/>
      <c r="P27" s="237">
        <f t="shared" si="39"/>
        <v>9966127</v>
      </c>
      <c r="Q27" s="237">
        <v>10300479</v>
      </c>
      <c r="R27" s="632">
        <f t="shared" si="38"/>
        <v>-334352</v>
      </c>
    </row>
    <row r="28" spans="1:18" s="214" customFormat="1" ht="18.95" customHeight="1">
      <c r="A28" s="232"/>
      <c r="B28" s="235"/>
      <c r="C28" s="236" t="s">
        <v>655</v>
      </c>
      <c r="D28" s="237">
        <v>25220645</v>
      </c>
      <c r="E28" s="237"/>
      <c r="F28" s="238"/>
      <c r="G28" s="266">
        <f t="shared" si="40"/>
        <v>25220645</v>
      </c>
      <c r="H28" s="237">
        <v>26320959</v>
      </c>
      <c r="I28" s="641">
        <f t="shared" si="36"/>
        <v>-1100314</v>
      </c>
      <c r="J28" s="235"/>
      <c r="K28" s="235"/>
      <c r="L28" s="236" t="s">
        <v>421</v>
      </c>
      <c r="M28" s="237">
        <f>SUM(M29:M33)</f>
        <v>1558367</v>
      </c>
      <c r="N28" s="237">
        <f aca="true" t="shared" si="41" ref="N28:O28">SUM(N29:N33)</f>
        <v>2813430</v>
      </c>
      <c r="O28" s="237">
        <f t="shared" si="41"/>
        <v>0</v>
      </c>
      <c r="P28" s="237">
        <f t="shared" si="39"/>
        <v>4371797</v>
      </c>
      <c r="Q28" s="237">
        <v>4195716</v>
      </c>
      <c r="R28" s="632">
        <f t="shared" si="38"/>
        <v>176081</v>
      </c>
    </row>
    <row r="29" spans="1:18" s="214" customFormat="1" ht="18.95" customHeight="1">
      <c r="A29" s="232"/>
      <c r="B29" s="239" t="s">
        <v>422</v>
      </c>
      <c r="C29" s="240"/>
      <c r="D29" s="241">
        <f>SUM(D30)</f>
        <v>0</v>
      </c>
      <c r="E29" s="241">
        <f aca="true" t="shared" si="42" ref="E29:G29">SUM(E30)</f>
        <v>8048293</v>
      </c>
      <c r="F29" s="241">
        <f t="shared" si="42"/>
        <v>0</v>
      </c>
      <c r="G29" s="241">
        <f t="shared" si="42"/>
        <v>8048293</v>
      </c>
      <c r="H29" s="241">
        <f>SUM(H30)</f>
        <v>7361131</v>
      </c>
      <c r="I29" s="642">
        <f t="shared" si="36"/>
        <v>687162</v>
      </c>
      <c r="J29" s="235"/>
      <c r="K29" s="235"/>
      <c r="L29" s="236" t="s">
        <v>423</v>
      </c>
      <c r="M29" s="237">
        <v>0</v>
      </c>
      <c r="N29" s="237">
        <v>2459663</v>
      </c>
      <c r="O29" s="238"/>
      <c r="P29" s="237">
        <f t="shared" si="39"/>
        <v>2459663</v>
      </c>
      <c r="Q29" s="237">
        <v>2560485</v>
      </c>
      <c r="R29" s="632">
        <f t="shared" si="38"/>
        <v>-100822</v>
      </c>
    </row>
    <row r="30" spans="1:18" s="214" customFormat="1" ht="18.95" customHeight="1">
      <c r="A30" s="232"/>
      <c r="B30" s="235"/>
      <c r="C30" s="236" t="s">
        <v>656</v>
      </c>
      <c r="D30" s="237"/>
      <c r="E30" s="237">
        <f>5277293+2771000</f>
        <v>8048293</v>
      </c>
      <c r="F30" s="238"/>
      <c r="G30" s="266">
        <f>D30+E30-F30</f>
        <v>8048293</v>
      </c>
      <c r="H30" s="237">
        <v>7361131</v>
      </c>
      <c r="I30" s="641">
        <f t="shared" si="36"/>
        <v>687162</v>
      </c>
      <c r="J30" s="235"/>
      <c r="K30" s="235"/>
      <c r="L30" s="236" t="s">
        <v>424</v>
      </c>
      <c r="M30" s="237">
        <v>268877</v>
      </c>
      <c r="N30" s="237">
        <f>115119+41500</f>
        <v>156619</v>
      </c>
      <c r="O30" s="238"/>
      <c r="P30" s="237">
        <f t="shared" si="39"/>
        <v>425496</v>
      </c>
      <c r="Q30" s="237">
        <v>293738</v>
      </c>
      <c r="R30" s="632">
        <f t="shared" si="38"/>
        <v>131758</v>
      </c>
    </row>
    <row r="31" spans="1:18" s="214" customFormat="1" ht="18.95" customHeight="1">
      <c r="A31" s="232"/>
      <c r="B31" s="235"/>
      <c r="C31" s="235"/>
      <c r="D31" s="235"/>
      <c r="E31" s="235"/>
      <c r="F31" s="235"/>
      <c r="G31" s="235"/>
      <c r="H31" s="235"/>
      <c r="I31" s="643"/>
      <c r="J31" s="235"/>
      <c r="K31" s="235"/>
      <c r="L31" s="236" t="s">
        <v>425</v>
      </c>
      <c r="M31" s="237">
        <v>1187861</v>
      </c>
      <c r="N31" s="237">
        <f>108785+26000</f>
        <v>134785</v>
      </c>
      <c r="O31" s="238"/>
      <c r="P31" s="237">
        <f t="shared" si="39"/>
        <v>1322646</v>
      </c>
      <c r="Q31" s="237">
        <v>1177493</v>
      </c>
      <c r="R31" s="632">
        <f t="shared" si="38"/>
        <v>145153</v>
      </c>
    </row>
    <row r="32" spans="1:18" s="214" customFormat="1" ht="18.95" customHeight="1">
      <c r="A32" s="232"/>
      <c r="B32" s="235"/>
      <c r="C32" s="235"/>
      <c r="D32" s="235"/>
      <c r="E32" s="235"/>
      <c r="F32" s="235"/>
      <c r="G32" s="235"/>
      <c r="H32" s="235"/>
      <c r="I32" s="643"/>
      <c r="J32" s="235"/>
      <c r="K32" s="235"/>
      <c r="L32" s="236" t="s">
        <v>426</v>
      </c>
      <c r="M32" s="237">
        <v>101629</v>
      </c>
      <c r="N32" s="237">
        <f>38363+24000</f>
        <v>62363</v>
      </c>
      <c r="O32" s="238"/>
      <c r="P32" s="237">
        <f t="shared" si="39"/>
        <v>163992</v>
      </c>
      <c r="Q32" s="237">
        <v>164000</v>
      </c>
      <c r="R32" s="632">
        <f t="shared" si="38"/>
        <v>-8</v>
      </c>
    </row>
    <row r="33" spans="1:18" s="214" customFormat="1" ht="18.95" customHeight="1">
      <c r="A33" s="232"/>
      <c r="B33" s="235"/>
      <c r="C33" s="235"/>
      <c r="D33" s="235"/>
      <c r="E33" s="235"/>
      <c r="F33" s="235"/>
      <c r="G33" s="235"/>
      <c r="H33" s="235"/>
      <c r="I33" s="643"/>
      <c r="J33" s="235"/>
      <c r="K33" s="235"/>
      <c r="L33" s="236" t="s">
        <v>657</v>
      </c>
      <c r="M33" s="237"/>
      <c r="N33" s="237"/>
      <c r="O33" s="238"/>
      <c r="P33" s="237">
        <f t="shared" si="39"/>
        <v>0</v>
      </c>
      <c r="Q33" s="237">
        <v>0</v>
      </c>
      <c r="R33" s="632">
        <f t="shared" si="38"/>
        <v>0</v>
      </c>
    </row>
    <row r="34" spans="1:18" s="214" customFormat="1" ht="18.95" customHeight="1">
      <c r="A34" s="232"/>
      <c r="B34" s="235"/>
      <c r="C34" s="235"/>
      <c r="D34" s="235"/>
      <c r="E34" s="235"/>
      <c r="F34" s="235"/>
      <c r="G34" s="235"/>
      <c r="H34" s="235"/>
      <c r="I34" s="643"/>
      <c r="J34" s="235"/>
      <c r="K34" s="235"/>
      <c r="L34" s="236" t="s">
        <v>427</v>
      </c>
      <c r="M34" s="237">
        <v>10097850</v>
      </c>
      <c r="N34" s="237">
        <f>1798690+1433800</f>
        <v>3232490</v>
      </c>
      <c r="O34" s="238"/>
      <c r="P34" s="237">
        <f t="shared" si="39"/>
        <v>13330340</v>
      </c>
      <c r="Q34" s="237">
        <v>12874250</v>
      </c>
      <c r="R34" s="632">
        <f aca="true" t="shared" si="43" ref="R34:R47">P34-Q34</f>
        <v>456090</v>
      </c>
    </row>
    <row r="35" spans="1:18" s="214" customFormat="1" ht="18.95" customHeight="1">
      <c r="A35" s="232"/>
      <c r="B35" s="235"/>
      <c r="C35" s="235"/>
      <c r="D35" s="235"/>
      <c r="E35" s="235"/>
      <c r="F35" s="235"/>
      <c r="G35" s="235"/>
      <c r="H35" s="235"/>
      <c r="I35" s="643"/>
      <c r="J35" s="235"/>
      <c r="K35" s="235"/>
      <c r="L35" s="236" t="s">
        <v>428</v>
      </c>
      <c r="M35" s="237">
        <v>151241</v>
      </c>
      <c r="N35" s="237">
        <v>75226</v>
      </c>
      <c r="O35" s="238"/>
      <c r="P35" s="237">
        <f t="shared" si="39"/>
        <v>226467</v>
      </c>
      <c r="Q35" s="237">
        <v>282794</v>
      </c>
      <c r="R35" s="632">
        <f t="shared" si="43"/>
        <v>-56327</v>
      </c>
    </row>
    <row r="36" spans="1:18" s="214" customFormat="1" ht="18.95" customHeight="1">
      <c r="A36" s="232"/>
      <c r="B36" s="235"/>
      <c r="C36" s="235"/>
      <c r="D36" s="235"/>
      <c r="E36" s="235"/>
      <c r="F36" s="235"/>
      <c r="G36" s="235"/>
      <c r="H36" s="235"/>
      <c r="I36" s="643"/>
      <c r="J36" s="235"/>
      <c r="K36" s="235"/>
      <c r="L36" s="236" t="s">
        <v>429</v>
      </c>
      <c r="M36" s="237">
        <v>311831</v>
      </c>
      <c r="N36" s="237">
        <f>203082+67000</f>
        <v>270082</v>
      </c>
      <c r="O36" s="238"/>
      <c r="P36" s="237">
        <f t="shared" si="39"/>
        <v>581913</v>
      </c>
      <c r="Q36" s="237">
        <v>435808</v>
      </c>
      <c r="R36" s="632">
        <f t="shared" si="43"/>
        <v>146105</v>
      </c>
    </row>
    <row r="37" spans="1:18" s="214" customFormat="1" ht="18.95" customHeight="1">
      <c r="A37" s="232"/>
      <c r="B37" s="235"/>
      <c r="C37" s="235"/>
      <c r="D37" s="235"/>
      <c r="E37" s="235"/>
      <c r="F37" s="235"/>
      <c r="G37" s="235"/>
      <c r="H37" s="235"/>
      <c r="I37" s="643"/>
      <c r="J37" s="235"/>
      <c r="K37" s="235"/>
      <c r="L37" s="268" t="s">
        <v>430</v>
      </c>
      <c r="M37" s="243">
        <v>0</v>
      </c>
      <c r="N37" s="243"/>
      <c r="O37" s="244"/>
      <c r="P37" s="237">
        <f t="shared" si="39"/>
        <v>0</v>
      </c>
      <c r="Q37" s="243">
        <v>0</v>
      </c>
      <c r="R37" s="633">
        <f t="shared" si="43"/>
        <v>0</v>
      </c>
    </row>
    <row r="38" spans="1:18" s="214" customFormat="1" ht="18.95" customHeight="1">
      <c r="A38" s="245" t="s">
        <v>431</v>
      </c>
      <c r="B38" s="246"/>
      <c r="C38" s="246"/>
      <c r="D38" s="247">
        <f>D39+D55+D68+D72</f>
        <v>0</v>
      </c>
      <c r="E38" s="247">
        <f aca="true" t="shared" si="44" ref="E38:F38">E39+E55+E68+E72</f>
        <v>51297350</v>
      </c>
      <c r="F38" s="247">
        <f t="shared" si="44"/>
        <v>0</v>
      </c>
      <c r="G38" s="247">
        <f>D38+E38-F38</f>
        <v>51297350</v>
      </c>
      <c r="H38" s="247">
        <f>H39+H55+H68+H72</f>
        <v>41539363</v>
      </c>
      <c r="I38" s="644">
        <f aca="true" t="shared" si="45" ref="I38:I41">G38-H38</f>
        <v>9757987</v>
      </c>
      <c r="J38" s="235"/>
      <c r="K38" s="233" t="s">
        <v>432</v>
      </c>
      <c r="L38" s="233"/>
      <c r="M38" s="234">
        <f>M39+M40+M41+M42+M48+M49+M50</f>
        <v>15440997</v>
      </c>
      <c r="N38" s="234">
        <f aca="true" t="shared" si="46" ref="N38:O38">N39+N40+N41+N42+N48+N49+N50</f>
        <v>7055422</v>
      </c>
      <c r="O38" s="234">
        <f t="shared" si="46"/>
        <v>0</v>
      </c>
      <c r="P38" s="234">
        <f>M38+N38-O38</f>
        <v>22496419</v>
      </c>
      <c r="Q38" s="234">
        <f>Q39+Q40+Q41+Q42+Q48+Q49+Q50</f>
        <v>22610724</v>
      </c>
      <c r="R38" s="631">
        <f t="shared" si="43"/>
        <v>-114305</v>
      </c>
    </row>
    <row r="39" spans="1:18" s="214" customFormat="1" ht="18.95" customHeight="1">
      <c r="A39" s="232"/>
      <c r="B39" s="233" t="s">
        <v>433</v>
      </c>
      <c r="C39" s="233"/>
      <c r="D39" s="234">
        <f>SUM(D40+D41+D47+D50+D51+D52+D53+D54)</f>
        <v>0</v>
      </c>
      <c r="E39" s="234">
        <f>SUM(E40+E41+E47+E50+E51+E52+E53+E54)</f>
        <v>8318746</v>
      </c>
      <c r="F39" s="234">
        <f aca="true" t="shared" si="47" ref="F39:H39">SUM(F40+F41+F47+F50+F51+F52+F53+F54)</f>
        <v>0</v>
      </c>
      <c r="G39" s="234">
        <f>D39+E39-F39</f>
        <v>8318746</v>
      </c>
      <c r="H39" s="234">
        <f t="shared" si="47"/>
        <v>4100000</v>
      </c>
      <c r="I39" s="640">
        <f t="shared" si="45"/>
        <v>4218746</v>
      </c>
      <c r="J39" s="235"/>
      <c r="K39" s="235"/>
      <c r="L39" s="236" t="s">
        <v>434</v>
      </c>
      <c r="M39" s="237">
        <v>6622037</v>
      </c>
      <c r="N39" s="237">
        <f>2096590+200000+150739</f>
        <v>2447329</v>
      </c>
      <c r="O39" s="238"/>
      <c r="P39" s="237">
        <f>M39+N39-O39</f>
        <v>9069366</v>
      </c>
      <c r="Q39" s="237">
        <v>8836423</v>
      </c>
      <c r="R39" s="632">
        <f t="shared" si="43"/>
        <v>232943</v>
      </c>
    </row>
    <row r="40" spans="1:18" s="214" customFormat="1" ht="18.95" customHeight="1">
      <c r="A40" s="232"/>
      <c r="B40" s="235"/>
      <c r="C40" s="236" t="s">
        <v>435</v>
      </c>
      <c r="D40" s="237"/>
      <c r="E40" s="237">
        <v>4485788</v>
      </c>
      <c r="F40" s="237"/>
      <c r="G40" s="237">
        <f>D40+E40-F40</f>
        <v>4485788</v>
      </c>
      <c r="H40" s="237">
        <v>53000</v>
      </c>
      <c r="I40" s="645">
        <f t="shared" si="45"/>
        <v>4432788</v>
      </c>
      <c r="J40" s="235"/>
      <c r="K40" s="235"/>
      <c r="L40" s="236" t="s">
        <v>436</v>
      </c>
      <c r="M40" s="237">
        <v>6360186</v>
      </c>
      <c r="N40" s="237">
        <f>1749124+205000+150739</f>
        <v>2104863</v>
      </c>
      <c r="O40" s="238"/>
      <c r="P40" s="237">
        <f aca="true" t="shared" si="48" ref="P40:P50">M40+N40-O40</f>
        <v>8465049</v>
      </c>
      <c r="Q40" s="237">
        <v>8543605</v>
      </c>
      <c r="R40" s="632">
        <f t="shared" si="43"/>
        <v>-78556</v>
      </c>
    </row>
    <row r="41" spans="1:18" s="214" customFormat="1" ht="18.95" customHeight="1">
      <c r="A41" s="232"/>
      <c r="B41" s="235"/>
      <c r="C41" s="236" t="s">
        <v>658</v>
      </c>
      <c r="D41" s="266"/>
      <c r="E41" s="266">
        <f>SUM(E42:E46)</f>
        <v>3832958</v>
      </c>
      <c r="F41" s="265"/>
      <c r="G41" s="237">
        <f aca="true" t="shared" si="49" ref="G41">D41+E41-F41</f>
        <v>3832958</v>
      </c>
      <c r="H41" s="266">
        <f>SUM(H42:H46)</f>
        <v>4047000</v>
      </c>
      <c r="I41" s="641">
        <f t="shared" si="45"/>
        <v>-214042</v>
      </c>
      <c r="J41" s="235"/>
      <c r="K41" s="235"/>
      <c r="L41" s="236" t="s">
        <v>437</v>
      </c>
      <c r="M41" s="237">
        <v>996163</v>
      </c>
      <c r="N41" s="237">
        <f>274579+49900+44190</f>
        <v>368669</v>
      </c>
      <c r="O41" s="238"/>
      <c r="P41" s="237">
        <f t="shared" si="48"/>
        <v>1364832</v>
      </c>
      <c r="Q41" s="237">
        <v>1294415</v>
      </c>
      <c r="R41" s="632">
        <f t="shared" si="43"/>
        <v>70417</v>
      </c>
    </row>
    <row r="42" spans="1:18" s="214" customFormat="1" ht="18.95" customHeight="1">
      <c r="A42" s="232"/>
      <c r="B42" s="235"/>
      <c r="C42" s="236" t="s">
        <v>438</v>
      </c>
      <c r="D42" s="237"/>
      <c r="E42" s="237">
        <v>3832958</v>
      </c>
      <c r="F42" s="238"/>
      <c r="G42" s="237">
        <f>D42+E42-F42</f>
        <v>3832958</v>
      </c>
      <c r="H42" s="237">
        <v>4047000</v>
      </c>
      <c r="I42" s="645"/>
      <c r="J42" s="235"/>
      <c r="K42" s="235"/>
      <c r="L42" s="236" t="s">
        <v>439</v>
      </c>
      <c r="M42" s="237">
        <f>SUM(M43:M47)</f>
        <v>498481</v>
      </c>
      <c r="N42" s="237">
        <f aca="true" t="shared" si="50" ref="N42:O42">SUM(N43:N47)</f>
        <v>1616586</v>
      </c>
      <c r="O42" s="237">
        <f t="shared" si="50"/>
        <v>0</v>
      </c>
      <c r="P42" s="237">
        <f t="shared" si="48"/>
        <v>2115067</v>
      </c>
      <c r="Q42" s="237">
        <f>SUM(Q43:Q47)</f>
        <v>2051133</v>
      </c>
      <c r="R42" s="632">
        <f t="shared" si="43"/>
        <v>63934</v>
      </c>
    </row>
    <row r="43" spans="1:18" s="214" customFormat="1" ht="18.95" customHeight="1">
      <c r="A43" s="232"/>
      <c r="B43" s="235"/>
      <c r="C43" s="236" t="s">
        <v>440</v>
      </c>
      <c r="D43" s="237"/>
      <c r="E43" s="237"/>
      <c r="F43" s="238"/>
      <c r="G43" s="237"/>
      <c r="H43" s="237"/>
      <c r="I43" s="645"/>
      <c r="J43" s="235"/>
      <c r="K43" s="235"/>
      <c r="L43" s="236" t="s">
        <v>423</v>
      </c>
      <c r="M43" s="237">
        <v>0</v>
      </c>
      <c r="N43" s="237">
        <f>1312295+43000+18000</f>
        <v>1373295</v>
      </c>
      <c r="O43" s="238"/>
      <c r="P43" s="237">
        <f t="shared" si="48"/>
        <v>1373295</v>
      </c>
      <c r="Q43" s="237">
        <v>1486515</v>
      </c>
      <c r="R43" s="632">
        <f t="shared" si="43"/>
        <v>-113220</v>
      </c>
    </row>
    <row r="44" spans="1:18" s="214" customFormat="1" ht="18.95" customHeight="1">
      <c r="A44" s="232"/>
      <c r="B44" s="235"/>
      <c r="C44" s="236" t="s">
        <v>441</v>
      </c>
      <c r="D44" s="237"/>
      <c r="E44" s="237"/>
      <c r="F44" s="238"/>
      <c r="G44" s="237"/>
      <c r="H44" s="237"/>
      <c r="I44" s="645"/>
      <c r="J44" s="235"/>
      <c r="K44" s="235"/>
      <c r="L44" s="236" t="s">
        <v>424</v>
      </c>
      <c r="M44" s="237">
        <v>26830</v>
      </c>
      <c r="N44" s="237">
        <f>42493+2900</f>
        <v>45393</v>
      </c>
      <c r="O44" s="238"/>
      <c r="P44" s="237">
        <f t="shared" si="48"/>
        <v>72223</v>
      </c>
      <c r="Q44" s="237">
        <v>41247</v>
      </c>
      <c r="R44" s="632">
        <f t="shared" si="43"/>
        <v>30976</v>
      </c>
    </row>
    <row r="45" spans="1:18" s="214" customFormat="1" ht="18.95" customHeight="1">
      <c r="A45" s="232"/>
      <c r="B45" s="235"/>
      <c r="C45" s="236" t="s">
        <v>442</v>
      </c>
      <c r="D45" s="237"/>
      <c r="E45" s="237"/>
      <c r="F45" s="237"/>
      <c r="G45" s="237"/>
      <c r="H45" s="237"/>
      <c r="I45" s="645"/>
      <c r="J45" s="235"/>
      <c r="K45" s="235"/>
      <c r="L45" s="236" t="s">
        <v>425</v>
      </c>
      <c r="M45" s="237">
        <v>455646</v>
      </c>
      <c r="N45" s="237">
        <f>156005+13000+10740</f>
        <v>179745</v>
      </c>
      <c r="O45" s="238"/>
      <c r="P45" s="237">
        <f t="shared" si="48"/>
        <v>635391</v>
      </c>
      <c r="Q45" s="237">
        <v>490358</v>
      </c>
      <c r="R45" s="632">
        <f t="shared" si="43"/>
        <v>145033</v>
      </c>
    </row>
    <row r="46" spans="1:18" s="214" customFormat="1" ht="18.95" customHeight="1">
      <c r="A46" s="232"/>
      <c r="B46" s="235"/>
      <c r="C46" s="236" t="s">
        <v>443</v>
      </c>
      <c r="D46" s="237"/>
      <c r="E46" s="237"/>
      <c r="F46" s="238"/>
      <c r="G46" s="237"/>
      <c r="H46" s="237"/>
      <c r="I46" s="645"/>
      <c r="J46" s="235"/>
      <c r="K46" s="235"/>
      <c r="L46" s="236" t="s">
        <v>426</v>
      </c>
      <c r="M46" s="237">
        <v>16005</v>
      </c>
      <c r="N46" s="237">
        <f>16553+1600</f>
        <v>18153</v>
      </c>
      <c r="O46" s="238"/>
      <c r="P46" s="237">
        <f t="shared" si="48"/>
        <v>34158</v>
      </c>
      <c r="Q46" s="237">
        <v>33013</v>
      </c>
      <c r="R46" s="632">
        <f t="shared" si="43"/>
        <v>1145</v>
      </c>
    </row>
    <row r="47" spans="1:18" s="214" customFormat="1" ht="18.95" customHeight="1">
      <c r="A47" s="232"/>
      <c r="B47" s="235"/>
      <c r="C47" s="236" t="s">
        <v>444</v>
      </c>
      <c r="D47" s="266"/>
      <c r="E47" s="266"/>
      <c r="F47" s="265"/>
      <c r="G47" s="266">
        <f>SUM(G48:G49)</f>
        <v>0</v>
      </c>
      <c r="H47" s="266"/>
      <c r="I47" s="641">
        <f aca="true" t="shared" si="51" ref="I47">G47-H47</f>
        <v>0</v>
      </c>
      <c r="J47" s="235"/>
      <c r="K47" s="235"/>
      <c r="L47" s="236" t="s">
        <v>657</v>
      </c>
      <c r="M47" s="237"/>
      <c r="N47" s="237"/>
      <c r="O47" s="238"/>
      <c r="P47" s="237">
        <f t="shared" si="48"/>
        <v>0</v>
      </c>
      <c r="Q47" s="237">
        <v>0</v>
      </c>
      <c r="R47" s="632">
        <f t="shared" si="43"/>
        <v>0</v>
      </c>
    </row>
    <row r="48" spans="1:18" s="214" customFormat="1" ht="18.95" customHeight="1">
      <c r="A48" s="232"/>
      <c r="B48" s="235"/>
      <c r="C48" s="236" t="s">
        <v>445</v>
      </c>
      <c r="D48" s="237"/>
      <c r="E48" s="237"/>
      <c r="F48" s="238"/>
      <c r="G48" s="237"/>
      <c r="H48" s="237"/>
      <c r="I48" s="645"/>
      <c r="J48" s="235"/>
      <c r="K48" s="235"/>
      <c r="L48" s="236" t="s">
        <v>446</v>
      </c>
      <c r="M48" s="237">
        <v>706583</v>
      </c>
      <c r="N48" s="237">
        <f>334665+100000+36000</f>
        <v>470665</v>
      </c>
      <c r="O48" s="238"/>
      <c r="P48" s="237">
        <f t="shared" si="48"/>
        <v>1177248</v>
      </c>
      <c r="Q48" s="237">
        <v>1203149</v>
      </c>
      <c r="R48" s="632">
        <f aca="true" t="shared" si="52" ref="R48:R60">P48-Q48</f>
        <v>-25901</v>
      </c>
    </row>
    <row r="49" spans="1:18" s="214" customFormat="1" ht="18.95" customHeight="1">
      <c r="A49" s="232"/>
      <c r="B49" s="235"/>
      <c r="C49" s="236" t="s">
        <v>447</v>
      </c>
      <c r="D49" s="237"/>
      <c r="E49" s="237"/>
      <c r="F49" s="238"/>
      <c r="G49" s="237"/>
      <c r="H49" s="237"/>
      <c r="I49" s="645"/>
      <c r="J49" s="235"/>
      <c r="K49" s="235"/>
      <c r="L49" s="236" t="s">
        <v>448</v>
      </c>
      <c r="M49" s="237"/>
      <c r="N49" s="237"/>
      <c r="O49" s="238"/>
      <c r="P49" s="237">
        <f t="shared" si="48"/>
        <v>0</v>
      </c>
      <c r="Q49" s="237">
        <v>0</v>
      </c>
      <c r="R49" s="632">
        <f t="shared" si="52"/>
        <v>0</v>
      </c>
    </row>
    <row r="50" spans="1:18" s="214" customFormat="1" ht="18.95" customHeight="1">
      <c r="A50" s="232"/>
      <c r="B50" s="235"/>
      <c r="C50" s="236" t="s">
        <v>449</v>
      </c>
      <c r="D50" s="237"/>
      <c r="E50" s="237"/>
      <c r="F50" s="238"/>
      <c r="G50" s="237"/>
      <c r="H50" s="237"/>
      <c r="I50" s="645">
        <f aca="true" t="shared" si="53" ref="I50:I56">G50-H50</f>
        <v>0</v>
      </c>
      <c r="J50" s="235"/>
      <c r="K50" s="235"/>
      <c r="L50" s="268" t="s">
        <v>450</v>
      </c>
      <c r="M50" s="243">
        <v>257547</v>
      </c>
      <c r="N50" s="243">
        <f>41310+6000</f>
        <v>47310</v>
      </c>
      <c r="O50" s="244"/>
      <c r="P50" s="237">
        <f t="shared" si="48"/>
        <v>304857</v>
      </c>
      <c r="Q50" s="243">
        <v>681999</v>
      </c>
      <c r="R50" s="633">
        <f t="shared" si="52"/>
        <v>-377142</v>
      </c>
    </row>
    <row r="51" spans="1:18" s="214" customFormat="1" ht="18.95" customHeight="1">
      <c r="A51" s="232"/>
      <c r="B51" s="235"/>
      <c r="C51" s="236" t="s">
        <v>451</v>
      </c>
      <c r="D51" s="237"/>
      <c r="E51" s="237"/>
      <c r="F51" s="237"/>
      <c r="G51" s="237"/>
      <c r="H51" s="237"/>
      <c r="I51" s="645">
        <f t="shared" si="53"/>
        <v>0</v>
      </c>
      <c r="J51" s="248" t="s">
        <v>452</v>
      </c>
      <c r="K51" s="246"/>
      <c r="L51" s="246"/>
      <c r="M51" s="247">
        <f>M52+M63+M73</f>
        <v>13166224</v>
      </c>
      <c r="N51" s="247">
        <f aca="true" t="shared" si="54" ref="N51:O51">N52+N63+N73</f>
        <v>13805916</v>
      </c>
      <c r="O51" s="247">
        <f t="shared" si="54"/>
        <v>0</v>
      </c>
      <c r="P51" s="247">
        <f>M51+N51-O51</f>
        <v>26972140</v>
      </c>
      <c r="Q51" s="247">
        <f>Q52+Q63+Q73</f>
        <v>28597308</v>
      </c>
      <c r="R51" s="634">
        <f t="shared" si="52"/>
        <v>-1625168</v>
      </c>
    </row>
    <row r="52" spans="1:18" s="214" customFormat="1" ht="18.95" customHeight="1">
      <c r="A52" s="232"/>
      <c r="B52" s="235"/>
      <c r="C52" s="236" t="s">
        <v>453</v>
      </c>
      <c r="D52" s="237"/>
      <c r="E52" s="237"/>
      <c r="F52" s="272"/>
      <c r="G52" s="237">
        <v>0</v>
      </c>
      <c r="H52" s="237"/>
      <c r="I52" s="645">
        <f t="shared" si="53"/>
        <v>0</v>
      </c>
      <c r="J52" s="235"/>
      <c r="K52" s="233" t="s">
        <v>454</v>
      </c>
      <c r="L52" s="233"/>
      <c r="M52" s="234">
        <f>SUM(M53:M60)</f>
        <v>5972614</v>
      </c>
      <c r="N52" s="234">
        <f>SUM(N53:N60)</f>
        <v>4033257</v>
      </c>
      <c r="O52" s="234">
        <f aca="true" t="shared" si="55" ref="O52">SUM(O53:O60)</f>
        <v>0</v>
      </c>
      <c r="P52" s="234">
        <f>M52+N52-O52</f>
        <v>10005871</v>
      </c>
      <c r="Q52" s="234">
        <f>SUM(Q53:Q60)</f>
        <v>10037281</v>
      </c>
      <c r="R52" s="631">
        <f t="shared" si="52"/>
        <v>-31410</v>
      </c>
    </row>
    <row r="53" spans="1:18" s="214" customFormat="1" ht="18.95" customHeight="1">
      <c r="A53" s="232"/>
      <c r="B53" s="235"/>
      <c r="C53" s="236" t="s">
        <v>455</v>
      </c>
      <c r="D53" s="237"/>
      <c r="E53" s="237"/>
      <c r="F53" s="238"/>
      <c r="G53" s="237"/>
      <c r="H53" s="237"/>
      <c r="I53" s="645">
        <f t="shared" si="53"/>
        <v>0</v>
      </c>
      <c r="J53" s="235"/>
      <c r="K53" s="235"/>
      <c r="L53" s="236" t="s">
        <v>456</v>
      </c>
      <c r="M53" s="237">
        <v>1290095</v>
      </c>
      <c r="N53" s="237">
        <f>1049922+90000+198000+18000</f>
        <v>1355922</v>
      </c>
      <c r="O53" s="238"/>
      <c r="P53" s="237">
        <f>M53+N53-O53</f>
        <v>2646017</v>
      </c>
      <c r="Q53" s="237">
        <v>3249500</v>
      </c>
      <c r="R53" s="632">
        <f t="shared" si="52"/>
        <v>-603483</v>
      </c>
    </row>
    <row r="54" spans="1:18" s="214" customFormat="1" ht="18.95" customHeight="1">
      <c r="A54" s="232"/>
      <c r="B54" s="235"/>
      <c r="C54" s="236" t="s">
        <v>659</v>
      </c>
      <c r="D54" s="237"/>
      <c r="E54" s="237"/>
      <c r="F54" s="271"/>
      <c r="G54" s="237"/>
      <c r="H54" s="237"/>
      <c r="I54" s="645">
        <f t="shared" si="53"/>
        <v>0</v>
      </c>
      <c r="J54" s="235"/>
      <c r="K54" s="235"/>
      <c r="L54" s="236" t="s">
        <v>457</v>
      </c>
      <c r="M54" s="237">
        <v>409534</v>
      </c>
      <c r="N54" s="237">
        <f>48306+27500+6000+500</f>
        <v>82306</v>
      </c>
      <c r="O54" s="238"/>
      <c r="P54" s="237">
        <f aca="true" t="shared" si="56" ref="P54:P60">M54+N54-O54</f>
        <v>491840</v>
      </c>
      <c r="Q54" s="237">
        <v>494340</v>
      </c>
      <c r="R54" s="632">
        <f t="shared" si="52"/>
        <v>-2500</v>
      </c>
    </row>
    <row r="55" spans="1:18" s="214" customFormat="1" ht="18.95" customHeight="1">
      <c r="A55" s="232"/>
      <c r="B55" s="233" t="s">
        <v>458</v>
      </c>
      <c r="C55" s="233"/>
      <c r="D55" s="234">
        <f>D56+D60+D64</f>
        <v>0</v>
      </c>
      <c r="E55" s="234">
        <f aca="true" t="shared" si="57" ref="E55:H55">E56+E60+E64</f>
        <v>17246620</v>
      </c>
      <c r="F55" s="234">
        <f t="shared" si="57"/>
        <v>0</v>
      </c>
      <c r="G55" s="234">
        <f>D55+E55-F55</f>
        <v>17246620</v>
      </c>
      <c r="H55" s="234">
        <f t="shared" si="57"/>
        <v>18546620</v>
      </c>
      <c r="I55" s="640">
        <f t="shared" si="53"/>
        <v>-1300000</v>
      </c>
      <c r="J55" s="235"/>
      <c r="K55" s="235"/>
      <c r="L55" s="236" t="s">
        <v>459</v>
      </c>
      <c r="M55" s="237">
        <v>53800</v>
      </c>
      <c r="N55" s="237">
        <v>28200</v>
      </c>
      <c r="O55" s="238"/>
      <c r="P55" s="237">
        <f t="shared" si="56"/>
        <v>82000</v>
      </c>
      <c r="Q55" s="237">
        <v>83000</v>
      </c>
      <c r="R55" s="632">
        <f t="shared" si="52"/>
        <v>-1000</v>
      </c>
    </row>
    <row r="56" spans="1:18" s="214" customFormat="1" ht="18.95" customHeight="1">
      <c r="A56" s="232"/>
      <c r="B56" s="235"/>
      <c r="C56" s="236" t="s">
        <v>460</v>
      </c>
      <c r="D56" s="266"/>
      <c r="E56" s="266"/>
      <c r="F56" s="266"/>
      <c r="G56" s="266"/>
      <c r="H56" s="266">
        <f>SUM(H57:H59)</f>
        <v>0</v>
      </c>
      <c r="I56" s="641">
        <f t="shared" si="53"/>
        <v>0</v>
      </c>
      <c r="J56" s="235"/>
      <c r="K56" s="235"/>
      <c r="L56" s="236" t="s">
        <v>461</v>
      </c>
      <c r="M56" s="237"/>
      <c r="N56" s="237"/>
      <c r="O56" s="238"/>
      <c r="P56" s="237">
        <f t="shared" si="56"/>
        <v>0</v>
      </c>
      <c r="Q56" s="237">
        <v>0</v>
      </c>
      <c r="R56" s="632">
        <f t="shared" si="52"/>
        <v>0</v>
      </c>
    </row>
    <row r="57" spans="1:18" s="214" customFormat="1" ht="18.95" customHeight="1">
      <c r="A57" s="232"/>
      <c r="B57" s="235"/>
      <c r="C57" s="236" t="s">
        <v>462</v>
      </c>
      <c r="D57" s="266"/>
      <c r="E57" s="266"/>
      <c r="F57" s="265"/>
      <c r="G57" s="266"/>
      <c r="H57" s="266"/>
      <c r="I57" s="641"/>
      <c r="J57" s="235"/>
      <c r="K57" s="235"/>
      <c r="L57" s="236" t="s">
        <v>463</v>
      </c>
      <c r="M57" s="237">
        <v>4008132</v>
      </c>
      <c r="N57" s="237">
        <f>679143+124000+436000+112152</f>
        <v>1351295</v>
      </c>
      <c r="O57" s="238"/>
      <c r="P57" s="237">
        <f t="shared" si="56"/>
        <v>5359427</v>
      </c>
      <c r="Q57" s="237">
        <v>5014692</v>
      </c>
      <c r="R57" s="632">
        <f t="shared" si="52"/>
        <v>344735</v>
      </c>
    </row>
    <row r="58" spans="1:18" s="214" customFormat="1" ht="18.95" customHeight="1">
      <c r="A58" s="232"/>
      <c r="B58" s="235"/>
      <c r="C58" s="236" t="s">
        <v>464</v>
      </c>
      <c r="D58" s="266"/>
      <c r="E58" s="266"/>
      <c r="F58" s="265"/>
      <c r="G58" s="266"/>
      <c r="H58" s="266"/>
      <c r="I58" s="641"/>
      <c r="J58" s="235"/>
      <c r="K58" s="235"/>
      <c r="L58" s="236" t="s">
        <v>465</v>
      </c>
      <c r="M58" s="237">
        <v>60000</v>
      </c>
      <c r="N58" s="237">
        <f>6916+5000+880</f>
        <v>12796</v>
      </c>
      <c r="O58" s="238"/>
      <c r="P58" s="237">
        <f t="shared" si="56"/>
        <v>72796</v>
      </c>
      <c r="Q58" s="237">
        <v>73316</v>
      </c>
      <c r="R58" s="632">
        <f t="shared" si="52"/>
        <v>-520</v>
      </c>
    </row>
    <row r="59" spans="1:18" s="214" customFormat="1" ht="18.95" customHeight="1">
      <c r="A59" s="232"/>
      <c r="B59" s="235"/>
      <c r="C59" s="236" t="s">
        <v>466</v>
      </c>
      <c r="D59" s="266"/>
      <c r="E59" s="266"/>
      <c r="F59" s="265"/>
      <c r="G59" s="266"/>
      <c r="H59" s="266"/>
      <c r="I59" s="641"/>
      <c r="J59" s="235"/>
      <c r="K59" s="235"/>
      <c r="L59" s="236" t="s">
        <v>467</v>
      </c>
      <c r="M59" s="237">
        <v>151053</v>
      </c>
      <c r="N59" s="237">
        <f>628238+573000</f>
        <v>1201238</v>
      </c>
      <c r="O59" s="237"/>
      <c r="P59" s="237">
        <f t="shared" si="56"/>
        <v>1352291</v>
      </c>
      <c r="Q59" s="237">
        <v>1120933</v>
      </c>
      <c r="R59" s="632">
        <f t="shared" si="52"/>
        <v>231358</v>
      </c>
    </row>
    <row r="60" spans="1:18" s="214" customFormat="1" ht="18.95" customHeight="1">
      <c r="A60" s="232"/>
      <c r="B60" s="235"/>
      <c r="C60" s="236" t="s">
        <v>468</v>
      </c>
      <c r="D60" s="266"/>
      <c r="E60" s="266">
        <f>SUM(E61:E63)</f>
        <v>17246620</v>
      </c>
      <c r="F60" s="266"/>
      <c r="G60" s="266">
        <f>D60+E60-F60</f>
        <v>17246620</v>
      </c>
      <c r="H60" s="266">
        <f>SUM(H61:H63)</f>
        <v>18546620</v>
      </c>
      <c r="I60" s="641">
        <f>G60-H60</f>
        <v>-1300000</v>
      </c>
      <c r="J60" s="235"/>
      <c r="K60" s="235"/>
      <c r="L60" s="236" t="s">
        <v>469</v>
      </c>
      <c r="M60" s="237"/>
      <c r="N60" s="237">
        <v>1500</v>
      </c>
      <c r="O60" s="238"/>
      <c r="P60" s="237">
        <f t="shared" si="56"/>
        <v>1500</v>
      </c>
      <c r="Q60" s="237">
        <v>1500</v>
      </c>
      <c r="R60" s="632">
        <f t="shared" si="52"/>
        <v>0</v>
      </c>
    </row>
    <row r="61" spans="1:18" s="214" customFormat="1" ht="18.95" customHeight="1">
      <c r="A61" s="232"/>
      <c r="B61" s="235"/>
      <c r="C61" s="236" t="s">
        <v>462</v>
      </c>
      <c r="D61" s="266"/>
      <c r="E61" s="266"/>
      <c r="F61" s="265"/>
      <c r="G61" s="266"/>
      <c r="H61" s="266"/>
      <c r="I61" s="641"/>
      <c r="J61" s="235"/>
      <c r="K61" s="235"/>
      <c r="L61" s="235"/>
      <c r="M61" s="249"/>
      <c r="N61" s="249"/>
      <c r="O61" s="250"/>
      <c r="P61" s="249"/>
      <c r="Q61" s="249"/>
      <c r="R61" s="635"/>
    </row>
    <row r="62" spans="1:18" s="214" customFormat="1" ht="18.95" customHeight="1">
      <c r="A62" s="232"/>
      <c r="B62" s="235"/>
      <c r="C62" s="236" t="s">
        <v>464</v>
      </c>
      <c r="D62" s="266"/>
      <c r="E62" s="266">
        <v>17246620</v>
      </c>
      <c r="F62" s="265"/>
      <c r="G62" s="266">
        <f>D62+E62-F62</f>
        <v>17246620</v>
      </c>
      <c r="H62" s="266">
        <v>18546620</v>
      </c>
      <c r="I62" s="641">
        <f>G62-H62</f>
        <v>-1300000</v>
      </c>
      <c r="J62" s="235"/>
      <c r="K62" s="235"/>
      <c r="L62" s="235"/>
      <c r="M62" s="235"/>
      <c r="N62" s="235"/>
      <c r="O62" s="235"/>
      <c r="P62" s="235"/>
      <c r="Q62" s="235"/>
      <c r="R62" s="635"/>
    </row>
    <row r="63" spans="1:18" s="214" customFormat="1" ht="18.95" customHeight="1">
      <c r="A63" s="232"/>
      <c r="B63" s="235"/>
      <c r="C63" s="236" t="s">
        <v>466</v>
      </c>
      <c r="D63" s="266"/>
      <c r="E63" s="266"/>
      <c r="F63" s="265"/>
      <c r="G63" s="266"/>
      <c r="H63" s="266"/>
      <c r="I63" s="641"/>
      <c r="J63" s="235"/>
      <c r="K63" s="233" t="s">
        <v>470</v>
      </c>
      <c r="L63" s="233"/>
      <c r="M63" s="234">
        <f>SUM(M64:M72)</f>
        <v>5209634</v>
      </c>
      <c r="N63" s="234">
        <f aca="true" t="shared" si="58" ref="N63:O63">SUM(N64:N72)</f>
        <v>2857669</v>
      </c>
      <c r="O63" s="234">
        <f t="shared" si="58"/>
        <v>0</v>
      </c>
      <c r="P63" s="234">
        <f>M63+N63-O63</f>
        <v>8067303</v>
      </c>
      <c r="Q63" s="234">
        <f>SUM(Q64:Q72)</f>
        <v>8669772</v>
      </c>
      <c r="R63" s="631">
        <f aca="true" t="shared" si="59" ref="R63:R101">P63-Q63</f>
        <v>-602469</v>
      </c>
    </row>
    <row r="64" spans="1:18" s="214" customFormat="1" ht="18.95" customHeight="1">
      <c r="A64" s="232"/>
      <c r="B64" s="235"/>
      <c r="C64" s="236" t="s">
        <v>471</v>
      </c>
      <c r="D64" s="266"/>
      <c r="E64" s="266"/>
      <c r="F64" s="266"/>
      <c r="G64" s="266"/>
      <c r="H64" s="266">
        <f>SUM(H65:H67)</f>
        <v>0</v>
      </c>
      <c r="I64" s="641">
        <f aca="true" t="shared" si="60" ref="I64">G64-H64</f>
        <v>0</v>
      </c>
      <c r="J64" s="235"/>
      <c r="K64" s="235"/>
      <c r="L64" s="236" t="s">
        <v>472</v>
      </c>
      <c r="M64" s="237">
        <v>98837</v>
      </c>
      <c r="N64" s="237">
        <f>241499+57000+3000+2000</f>
        <v>303499</v>
      </c>
      <c r="O64" s="238"/>
      <c r="P64" s="237">
        <f>M64+N64-O64</f>
        <v>402336</v>
      </c>
      <c r="Q64" s="237">
        <v>406240</v>
      </c>
      <c r="R64" s="632">
        <f t="shared" si="59"/>
        <v>-3904</v>
      </c>
    </row>
    <row r="65" spans="1:18" s="214" customFormat="1" ht="18.95" customHeight="1">
      <c r="A65" s="232"/>
      <c r="B65" s="235"/>
      <c r="C65" s="236" t="s">
        <v>462</v>
      </c>
      <c r="D65" s="266"/>
      <c r="E65" s="266"/>
      <c r="F65" s="265"/>
      <c r="G65" s="266"/>
      <c r="H65" s="266"/>
      <c r="I65" s="641"/>
      <c r="J65" s="235"/>
      <c r="K65" s="235"/>
      <c r="L65" s="236" t="s">
        <v>473</v>
      </c>
      <c r="M65" s="237">
        <v>302400</v>
      </c>
      <c r="N65" s="237"/>
      <c r="O65" s="238"/>
      <c r="P65" s="237">
        <f aca="true" t="shared" si="61" ref="P65:P72">M65+N65-O65</f>
        <v>302400</v>
      </c>
      <c r="Q65" s="237">
        <v>343400</v>
      </c>
      <c r="R65" s="632">
        <f t="shared" si="59"/>
        <v>-41000</v>
      </c>
    </row>
    <row r="66" spans="1:18" s="214" customFormat="1" ht="18.95" customHeight="1">
      <c r="A66" s="232"/>
      <c r="B66" s="235"/>
      <c r="C66" s="236" t="s">
        <v>464</v>
      </c>
      <c r="D66" s="266"/>
      <c r="E66" s="266"/>
      <c r="F66" s="265"/>
      <c r="G66" s="266"/>
      <c r="H66" s="266"/>
      <c r="I66" s="641"/>
      <c r="J66" s="235"/>
      <c r="K66" s="235"/>
      <c r="L66" s="236" t="s">
        <v>474</v>
      </c>
      <c r="M66" s="237">
        <v>450622</v>
      </c>
      <c r="N66" s="237">
        <f>457794+36800+34300+25000</f>
        <v>553894</v>
      </c>
      <c r="O66" s="238"/>
      <c r="P66" s="237">
        <f t="shared" si="61"/>
        <v>1004516</v>
      </c>
      <c r="Q66" s="237">
        <v>937589</v>
      </c>
      <c r="R66" s="632">
        <f t="shared" si="59"/>
        <v>66927</v>
      </c>
    </row>
    <row r="67" spans="1:18" s="214" customFormat="1" ht="18.95" customHeight="1">
      <c r="A67" s="232"/>
      <c r="B67" s="235"/>
      <c r="C67" s="236" t="s">
        <v>466</v>
      </c>
      <c r="D67" s="237"/>
      <c r="E67" s="237"/>
      <c r="F67" s="238"/>
      <c r="G67" s="237"/>
      <c r="H67" s="237"/>
      <c r="I67" s="645"/>
      <c r="J67" s="235"/>
      <c r="K67" s="235"/>
      <c r="L67" s="236" t="s">
        <v>475</v>
      </c>
      <c r="M67" s="237">
        <v>185400</v>
      </c>
      <c r="N67" s="237">
        <f>124200+18000+5000</f>
        <v>147200</v>
      </c>
      <c r="O67" s="238"/>
      <c r="P67" s="237">
        <f t="shared" si="61"/>
        <v>332600</v>
      </c>
      <c r="Q67" s="237">
        <v>331400</v>
      </c>
      <c r="R67" s="632">
        <f t="shared" si="59"/>
        <v>1200</v>
      </c>
    </row>
    <row r="68" spans="1:18" s="214" customFormat="1" ht="18.95" customHeight="1">
      <c r="A68" s="232"/>
      <c r="B68" s="240" t="s">
        <v>476</v>
      </c>
      <c r="C68" s="240"/>
      <c r="D68" s="241">
        <f>D69+D70+D71</f>
        <v>0</v>
      </c>
      <c r="E68" s="241">
        <f aca="true" t="shared" si="62" ref="E68:F68">E69+E70+E71</f>
        <v>22327199</v>
      </c>
      <c r="F68" s="241">
        <f t="shared" si="62"/>
        <v>0</v>
      </c>
      <c r="G68" s="241">
        <f>D68+E68-F68</f>
        <v>22327199</v>
      </c>
      <c r="H68" s="241">
        <f>H69+H70+H71</f>
        <v>17163643</v>
      </c>
      <c r="I68" s="642">
        <f aca="true" t="shared" si="63" ref="I68:I74">G68-H68</f>
        <v>5163556</v>
      </c>
      <c r="J68" s="235"/>
      <c r="K68" s="235"/>
      <c r="L68" s="236" t="s">
        <v>477</v>
      </c>
      <c r="M68" s="237">
        <v>1202300</v>
      </c>
      <c r="N68" s="237">
        <f>435000+32000+285000+48000</f>
        <v>800000</v>
      </c>
      <c r="O68" s="238"/>
      <c r="P68" s="237">
        <f t="shared" si="61"/>
        <v>2002300</v>
      </c>
      <c r="Q68" s="237">
        <v>2368300</v>
      </c>
      <c r="R68" s="632">
        <f t="shared" si="59"/>
        <v>-366000</v>
      </c>
    </row>
    <row r="69" spans="1:18" s="214" customFormat="1" ht="18.95" customHeight="1">
      <c r="A69" s="232"/>
      <c r="B69" s="235"/>
      <c r="C69" s="236" t="s">
        <v>660</v>
      </c>
      <c r="D69" s="237"/>
      <c r="E69" s="237">
        <v>19320754</v>
      </c>
      <c r="F69" s="237"/>
      <c r="G69" s="237">
        <f>D69+E69-F69</f>
        <v>19320754</v>
      </c>
      <c r="H69" s="237">
        <v>14129786</v>
      </c>
      <c r="I69" s="645">
        <f t="shared" si="63"/>
        <v>5190968</v>
      </c>
      <c r="J69" s="235"/>
      <c r="K69" s="235"/>
      <c r="L69" s="236" t="s">
        <v>478</v>
      </c>
      <c r="M69" s="237">
        <v>2497171</v>
      </c>
      <c r="N69" s="237">
        <f>323000+87000+250000+47219</f>
        <v>707219</v>
      </c>
      <c r="O69" s="238"/>
      <c r="P69" s="237">
        <f t="shared" si="61"/>
        <v>3204390</v>
      </c>
      <c r="Q69" s="237">
        <v>3451171</v>
      </c>
      <c r="R69" s="632">
        <f t="shared" si="59"/>
        <v>-246781</v>
      </c>
    </row>
    <row r="70" spans="1:18" s="214" customFormat="1" ht="18.95" customHeight="1">
      <c r="A70" s="232"/>
      <c r="B70" s="235"/>
      <c r="C70" s="236" t="s">
        <v>661</v>
      </c>
      <c r="D70" s="237"/>
      <c r="E70" s="237">
        <v>2948276</v>
      </c>
      <c r="F70" s="237"/>
      <c r="G70" s="237">
        <f aca="true" t="shared" si="64" ref="G70:G71">D70+E70-F70</f>
        <v>2948276</v>
      </c>
      <c r="H70" s="237">
        <v>2886100</v>
      </c>
      <c r="I70" s="645">
        <f t="shared" si="63"/>
        <v>62176</v>
      </c>
      <c r="J70" s="235"/>
      <c r="K70" s="235"/>
      <c r="L70" s="236" t="s">
        <v>479</v>
      </c>
      <c r="M70" s="237">
        <v>203200</v>
      </c>
      <c r="N70" s="237">
        <f>37600+12100+27000+23400</f>
        <v>100100</v>
      </c>
      <c r="O70" s="238"/>
      <c r="P70" s="237">
        <f t="shared" si="61"/>
        <v>303300</v>
      </c>
      <c r="Q70" s="237">
        <v>325100</v>
      </c>
      <c r="R70" s="632">
        <f t="shared" si="59"/>
        <v>-21800</v>
      </c>
    </row>
    <row r="71" spans="1:18" s="214" customFormat="1" ht="18.95" customHeight="1">
      <c r="A71" s="232"/>
      <c r="B71" s="235"/>
      <c r="C71" s="268" t="s">
        <v>662</v>
      </c>
      <c r="D71" s="243"/>
      <c r="E71" s="243">
        <v>58169</v>
      </c>
      <c r="F71" s="243"/>
      <c r="G71" s="237">
        <f t="shared" si="64"/>
        <v>58169</v>
      </c>
      <c r="H71" s="243">
        <v>147757</v>
      </c>
      <c r="I71" s="646">
        <f t="shared" si="63"/>
        <v>-89588</v>
      </c>
      <c r="J71" s="235"/>
      <c r="K71" s="235"/>
      <c r="L71" s="236" t="s">
        <v>663</v>
      </c>
      <c r="M71" s="237">
        <v>256104</v>
      </c>
      <c r="N71" s="237">
        <f>180399+1500+3000+749</f>
        <v>185648</v>
      </c>
      <c r="O71" s="238"/>
      <c r="P71" s="237">
        <f t="shared" si="61"/>
        <v>441752</v>
      </c>
      <c r="Q71" s="237">
        <v>439152</v>
      </c>
      <c r="R71" s="632">
        <f t="shared" si="59"/>
        <v>2600</v>
      </c>
    </row>
    <row r="72" spans="1:18" s="214" customFormat="1" ht="18.95" customHeight="1">
      <c r="A72" s="232"/>
      <c r="B72" s="233" t="s">
        <v>480</v>
      </c>
      <c r="C72" s="233"/>
      <c r="D72" s="234">
        <f>D73+D74</f>
        <v>0</v>
      </c>
      <c r="E72" s="234">
        <f aca="true" t="shared" si="65" ref="E72:F72">E73+E74</f>
        <v>3404785</v>
      </c>
      <c r="F72" s="234">
        <f t="shared" si="65"/>
        <v>0</v>
      </c>
      <c r="G72" s="234">
        <f>D72+E72-F72</f>
        <v>3404785</v>
      </c>
      <c r="H72" s="234">
        <f>H73+H74</f>
        <v>1729100</v>
      </c>
      <c r="I72" s="640">
        <f t="shared" si="63"/>
        <v>1675685</v>
      </c>
      <c r="J72" s="235"/>
      <c r="K72" s="235"/>
      <c r="L72" s="268" t="s">
        <v>481</v>
      </c>
      <c r="M72" s="243">
        <v>13600</v>
      </c>
      <c r="N72" s="243">
        <f>12609+47000+500</f>
        <v>60109</v>
      </c>
      <c r="O72" s="244"/>
      <c r="P72" s="237">
        <f t="shared" si="61"/>
        <v>73709</v>
      </c>
      <c r="Q72" s="243">
        <v>67420</v>
      </c>
      <c r="R72" s="633">
        <f t="shared" si="59"/>
        <v>6289</v>
      </c>
    </row>
    <row r="73" spans="1:18" s="214" customFormat="1" ht="18.95" customHeight="1">
      <c r="A73" s="232"/>
      <c r="B73" s="235"/>
      <c r="C73" s="236" t="s">
        <v>482</v>
      </c>
      <c r="D73" s="237"/>
      <c r="E73" s="237">
        <v>3284785</v>
      </c>
      <c r="F73" s="237"/>
      <c r="G73" s="237">
        <f>D73-E73-F73</f>
        <v>-3284785</v>
      </c>
      <c r="H73" s="237">
        <v>1729100</v>
      </c>
      <c r="I73" s="645">
        <f t="shared" si="63"/>
        <v>-5013885</v>
      </c>
      <c r="J73" s="235"/>
      <c r="K73" s="233" t="s">
        <v>483</v>
      </c>
      <c r="L73" s="233"/>
      <c r="M73" s="234">
        <f>SUM(M74:M82)</f>
        <v>1983976</v>
      </c>
      <c r="N73" s="234">
        <f aca="true" t="shared" si="66" ref="N73:O73">SUM(N74:N82)</f>
        <v>6914990</v>
      </c>
      <c r="O73" s="234">
        <f t="shared" si="66"/>
        <v>0</v>
      </c>
      <c r="P73" s="234">
        <f>M73+N73-O73</f>
        <v>8898966</v>
      </c>
      <c r="Q73" s="234">
        <f>SUM(Q74:Q82)</f>
        <v>9890255</v>
      </c>
      <c r="R73" s="631">
        <f t="shared" si="59"/>
        <v>-991289</v>
      </c>
    </row>
    <row r="74" spans="1:18" s="214" customFormat="1" ht="18.95" customHeight="1">
      <c r="A74" s="232"/>
      <c r="B74" s="235"/>
      <c r="C74" s="236" t="s">
        <v>484</v>
      </c>
      <c r="D74" s="237"/>
      <c r="E74" s="237">
        <v>120000</v>
      </c>
      <c r="F74" s="237"/>
      <c r="G74" s="237"/>
      <c r="H74" s="237"/>
      <c r="I74" s="645">
        <f t="shared" si="63"/>
        <v>0</v>
      </c>
      <c r="J74" s="235"/>
      <c r="K74" s="235"/>
      <c r="L74" s="236" t="s">
        <v>485</v>
      </c>
      <c r="M74" s="237">
        <v>320668</v>
      </c>
      <c r="N74" s="237">
        <f>416253+16300+10000+7000</f>
        <v>449553</v>
      </c>
      <c r="O74" s="238"/>
      <c r="P74" s="237">
        <f>M74+N74-O74</f>
        <v>770221</v>
      </c>
      <c r="Q74" s="237">
        <v>772098</v>
      </c>
      <c r="R74" s="632">
        <f t="shared" si="59"/>
        <v>-1877</v>
      </c>
    </row>
    <row r="75" spans="1:18" s="214" customFormat="1" ht="18.95" customHeight="1">
      <c r="A75" s="232"/>
      <c r="B75" s="235"/>
      <c r="C75" s="235"/>
      <c r="D75" s="235"/>
      <c r="E75" s="235"/>
      <c r="F75" s="235"/>
      <c r="G75" s="235"/>
      <c r="H75" s="235"/>
      <c r="I75" s="643"/>
      <c r="J75" s="235"/>
      <c r="K75" s="235"/>
      <c r="L75" s="236" t="s">
        <v>486</v>
      </c>
      <c r="M75" s="237">
        <v>61200</v>
      </c>
      <c r="N75" s="237">
        <v>217605</v>
      </c>
      <c r="O75" s="238"/>
      <c r="P75" s="237">
        <f aca="true" t="shared" si="67" ref="P75:P82">M75+N75-O75</f>
        <v>278805</v>
      </c>
      <c r="Q75" s="237">
        <v>278805</v>
      </c>
      <c r="R75" s="632">
        <f t="shared" si="59"/>
        <v>0</v>
      </c>
    </row>
    <row r="76" spans="1:18" s="214" customFormat="1" ht="18.95" customHeight="1">
      <c r="A76" s="232"/>
      <c r="B76" s="235"/>
      <c r="C76" s="235"/>
      <c r="D76" s="235"/>
      <c r="E76" s="235"/>
      <c r="F76" s="235"/>
      <c r="G76" s="235"/>
      <c r="H76" s="235"/>
      <c r="I76" s="643"/>
      <c r="J76" s="235"/>
      <c r="K76" s="235"/>
      <c r="L76" s="236" t="s">
        <v>487</v>
      </c>
      <c r="M76" s="237">
        <v>174260</v>
      </c>
      <c r="N76" s="237">
        <v>390084</v>
      </c>
      <c r="O76" s="238"/>
      <c r="P76" s="237">
        <f t="shared" si="67"/>
        <v>564344</v>
      </c>
      <c r="Q76" s="237">
        <v>487040</v>
      </c>
      <c r="R76" s="632">
        <f t="shared" si="59"/>
        <v>77304</v>
      </c>
    </row>
    <row r="77" spans="1:18" s="214" customFormat="1" ht="18.95" customHeight="1">
      <c r="A77" s="232"/>
      <c r="B77" s="235"/>
      <c r="C77" s="235"/>
      <c r="D77" s="235"/>
      <c r="E77" s="235"/>
      <c r="F77" s="235"/>
      <c r="G77" s="235"/>
      <c r="H77" s="235"/>
      <c r="I77" s="643"/>
      <c r="J77" s="235"/>
      <c r="K77" s="235"/>
      <c r="L77" s="236" t="s">
        <v>488</v>
      </c>
      <c r="M77" s="237"/>
      <c r="N77" s="237">
        <f>489600+41200+6000</f>
        <v>536800</v>
      </c>
      <c r="O77" s="238"/>
      <c r="P77" s="237">
        <f t="shared" si="67"/>
        <v>536800</v>
      </c>
      <c r="Q77" s="237">
        <v>512600</v>
      </c>
      <c r="R77" s="632">
        <f t="shared" si="59"/>
        <v>24200</v>
      </c>
    </row>
    <row r="78" spans="1:18" s="214" customFormat="1" ht="18.95" customHeight="1">
      <c r="A78" s="232"/>
      <c r="B78" s="235"/>
      <c r="C78" s="235"/>
      <c r="D78" s="235"/>
      <c r="E78" s="235"/>
      <c r="F78" s="235"/>
      <c r="G78" s="235"/>
      <c r="H78" s="235"/>
      <c r="I78" s="643"/>
      <c r="J78" s="235"/>
      <c r="K78" s="235"/>
      <c r="L78" s="236" t="s">
        <v>489</v>
      </c>
      <c r="M78" s="237">
        <v>172245</v>
      </c>
      <c r="N78" s="237">
        <f>1681446+147000</f>
        <v>1828446</v>
      </c>
      <c r="O78" s="238"/>
      <c r="P78" s="237">
        <f t="shared" si="67"/>
        <v>2000691</v>
      </c>
      <c r="Q78" s="237">
        <v>2217462</v>
      </c>
      <c r="R78" s="632">
        <f t="shared" si="59"/>
        <v>-216771</v>
      </c>
    </row>
    <row r="79" spans="1:18" s="214" customFormat="1" ht="18.95" customHeight="1">
      <c r="A79" s="232"/>
      <c r="B79" s="235"/>
      <c r="C79" s="235"/>
      <c r="D79" s="235"/>
      <c r="E79" s="235"/>
      <c r="F79" s="235"/>
      <c r="G79" s="235"/>
      <c r="H79" s="235"/>
      <c r="I79" s="643"/>
      <c r="J79" s="235"/>
      <c r="K79" s="235"/>
      <c r="L79" s="236" t="s">
        <v>490</v>
      </c>
      <c r="M79" s="237">
        <v>255985</v>
      </c>
      <c r="N79" s="237">
        <f>150312+14000+2000</f>
        <v>166312</v>
      </c>
      <c r="O79" s="238"/>
      <c r="P79" s="237">
        <f t="shared" si="67"/>
        <v>422297</v>
      </c>
      <c r="Q79" s="237">
        <v>408640</v>
      </c>
      <c r="R79" s="632">
        <f t="shared" si="59"/>
        <v>13657</v>
      </c>
    </row>
    <row r="80" spans="1:18" s="214" customFormat="1" ht="18.95" customHeight="1">
      <c r="A80" s="232"/>
      <c r="B80" s="235"/>
      <c r="C80" s="235"/>
      <c r="D80" s="235"/>
      <c r="E80" s="235"/>
      <c r="F80" s="235"/>
      <c r="G80" s="235"/>
      <c r="H80" s="235"/>
      <c r="I80" s="643"/>
      <c r="J80" s="235"/>
      <c r="K80" s="235"/>
      <c r="L80" s="236" t="s">
        <v>491</v>
      </c>
      <c r="M80" s="237">
        <v>297018</v>
      </c>
      <c r="N80" s="237">
        <v>487951</v>
      </c>
      <c r="O80" s="238"/>
      <c r="P80" s="237">
        <f t="shared" si="67"/>
        <v>784969</v>
      </c>
      <c r="Q80" s="237">
        <v>900330</v>
      </c>
      <c r="R80" s="632">
        <f t="shared" si="59"/>
        <v>-115361</v>
      </c>
    </row>
    <row r="81" spans="1:18" s="214" customFormat="1" ht="18.95" customHeight="1">
      <c r="A81" s="232"/>
      <c r="B81" s="235"/>
      <c r="C81" s="235"/>
      <c r="D81" s="235"/>
      <c r="E81" s="235"/>
      <c r="F81" s="235"/>
      <c r="G81" s="235"/>
      <c r="H81" s="235"/>
      <c r="I81" s="643"/>
      <c r="J81" s="235"/>
      <c r="K81" s="235"/>
      <c r="L81" s="236" t="s">
        <v>492</v>
      </c>
      <c r="M81" s="237"/>
      <c r="N81" s="237"/>
      <c r="O81" s="238"/>
      <c r="P81" s="237">
        <f t="shared" si="67"/>
        <v>0</v>
      </c>
      <c r="Q81" s="237">
        <v>0</v>
      </c>
      <c r="R81" s="632">
        <f t="shared" si="59"/>
        <v>0</v>
      </c>
    </row>
    <row r="82" spans="1:18" s="214" customFormat="1" ht="18.95" customHeight="1">
      <c r="A82" s="232"/>
      <c r="B82" s="235"/>
      <c r="C82" s="235"/>
      <c r="D82" s="235"/>
      <c r="E82" s="235"/>
      <c r="F82" s="235"/>
      <c r="G82" s="235"/>
      <c r="H82" s="235"/>
      <c r="I82" s="643"/>
      <c r="J82" s="235"/>
      <c r="K82" s="235"/>
      <c r="L82" s="268" t="s">
        <v>493</v>
      </c>
      <c r="M82" s="243">
        <v>702600</v>
      </c>
      <c r="N82" s="243">
        <f>2229519+604720+4000</f>
        <v>2838239</v>
      </c>
      <c r="O82" s="244"/>
      <c r="P82" s="237">
        <f t="shared" si="67"/>
        <v>3540839</v>
      </c>
      <c r="Q82" s="243">
        <v>4313280</v>
      </c>
      <c r="R82" s="633">
        <f t="shared" si="59"/>
        <v>-772441</v>
      </c>
    </row>
    <row r="83" spans="1:18" s="214" customFormat="1" ht="18.95" customHeight="1">
      <c r="A83" s="245" t="s">
        <v>494</v>
      </c>
      <c r="B83" s="246"/>
      <c r="C83" s="246"/>
      <c r="D83" s="247">
        <f>D84+D87+D90</f>
        <v>0</v>
      </c>
      <c r="E83" s="247">
        <f aca="true" t="shared" si="68" ref="E83:F83">E84+E87+E90</f>
        <v>16853572</v>
      </c>
      <c r="F83" s="247">
        <f t="shared" si="68"/>
        <v>0</v>
      </c>
      <c r="G83" s="247">
        <f>D83+E83-F83</f>
        <v>16853572</v>
      </c>
      <c r="H83" s="247">
        <f>H84+H87+H90</f>
        <v>19679278</v>
      </c>
      <c r="I83" s="644">
        <f aca="true" t="shared" si="69" ref="I83:I93">G83-H83</f>
        <v>-2825706</v>
      </c>
      <c r="J83" s="248" t="s">
        <v>495</v>
      </c>
      <c r="K83" s="246"/>
      <c r="L83" s="246"/>
      <c r="M83" s="247">
        <f>M84+M87+M94</f>
        <v>39758594</v>
      </c>
      <c r="N83" s="247">
        <f aca="true" t="shared" si="70" ref="N83:O83">N84+N87+N94</f>
        <v>40610916</v>
      </c>
      <c r="O83" s="247">
        <f t="shared" si="70"/>
        <v>0</v>
      </c>
      <c r="P83" s="247">
        <f>M83+N83-O83</f>
        <v>80369510</v>
      </c>
      <c r="Q83" s="247">
        <f>Q84+Q87+Q94</f>
        <v>69735163</v>
      </c>
      <c r="R83" s="634">
        <f t="shared" si="59"/>
        <v>10634347</v>
      </c>
    </row>
    <row r="84" spans="1:18" s="214" customFormat="1" ht="18.95" customHeight="1">
      <c r="A84" s="232"/>
      <c r="B84" s="233" t="s">
        <v>496</v>
      </c>
      <c r="C84" s="233"/>
      <c r="D84" s="234">
        <f>D85+D86</f>
        <v>0</v>
      </c>
      <c r="E84" s="234">
        <f aca="true" t="shared" si="71" ref="E84:F84">E85+E86</f>
        <v>3859660</v>
      </c>
      <c r="F84" s="234">
        <f t="shared" si="71"/>
        <v>0</v>
      </c>
      <c r="G84" s="234">
        <f>G85+G86</f>
        <v>3859660</v>
      </c>
      <c r="H84" s="234">
        <f>H85+H86</f>
        <v>3385530</v>
      </c>
      <c r="I84" s="640">
        <f t="shared" si="69"/>
        <v>474130</v>
      </c>
      <c r="J84" s="235"/>
      <c r="K84" s="233" t="s">
        <v>497</v>
      </c>
      <c r="L84" s="233"/>
      <c r="M84" s="234">
        <f>M85+M86</f>
        <v>6631095</v>
      </c>
      <c r="N84" s="234">
        <f aca="true" t="shared" si="72" ref="N84:O84">N85+N86</f>
        <v>3616649</v>
      </c>
      <c r="O84" s="234">
        <f t="shared" si="72"/>
        <v>0</v>
      </c>
      <c r="P84" s="234">
        <f>M84+N84-O84</f>
        <v>10247744</v>
      </c>
      <c r="Q84" s="234">
        <f>Q85+Q86</f>
        <v>9012977</v>
      </c>
      <c r="R84" s="631">
        <f t="shared" si="59"/>
        <v>1234767</v>
      </c>
    </row>
    <row r="85" spans="1:18" s="214" customFormat="1" ht="18.95" customHeight="1">
      <c r="A85" s="232"/>
      <c r="B85" s="235"/>
      <c r="C85" s="236" t="s">
        <v>498</v>
      </c>
      <c r="D85" s="237"/>
      <c r="E85" s="237"/>
      <c r="F85" s="237"/>
      <c r="G85" s="237"/>
      <c r="H85" s="237">
        <v>0</v>
      </c>
      <c r="I85" s="645">
        <f t="shared" si="69"/>
        <v>0</v>
      </c>
      <c r="J85" s="235"/>
      <c r="K85" s="235"/>
      <c r="L85" s="236" t="s">
        <v>499</v>
      </c>
      <c r="M85" s="237">
        <v>6631095</v>
      </c>
      <c r="N85" s="237">
        <f>3381649+235000</f>
        <v>3616649</v>
      </c>
      <c r="O85" s="238"/>
      <c r="P85" s="237">
        <f>M85+N85-O85</f>
        <v>10247744</v>
      </c>
      <c r="Q85" s="237">
        <v>9012977</v>
      </c>
      <c r="R85" s="632">
        <f t="shared" si="59"/>
        <v>1234767</v>
      </c>
    </row>
    <row r="86" spans="1:18" s="214" customFormat="1" ht="18.95" customHeight="1">
      <c r="A86" s="232"/>
      <c r="B86" s="235"/>
      <c r="C86" s="268" t="s">
        <v>500</v>
      </c>
      <c r="D86" s="243"/>
      <c r="E86" s="243">
        <v>3859660</v>
      </c>
      <c r="F86" s="243"/>
      <c r="G86" s="243">
        <f aca="true" t="shared" si="73" ref="G86:G91">D86+E86-F86</f>
        <v>3859660</v>
      </c>
      <c r="H86" s="243">
        <v>3385530</v>
      </c>
      <c r="I86" s="646">
        <f t="shared" si="69"/>
        <v>474130</v>
      </c>
      <c r="J86" s="235"/>
      <c r="K86" s="235"/>
      <c r="L86" s="268" t="s">
        <v>501</v>
      </c>
      <c r="M86" s="243"/>
      <c r="N86" s="243"/>
      <c r="O86" s="244"/>
      <c r="P86" s="243"/>
      <c r="Q86" s="243"/>
      <c r="R86" s="633">
        <f t="shared" si="59"/>
        <v>0</v>
      </c>
    </row>
    <row r="87" spans="1:18" s="214" customFormat="1" ht="18.95" customHeight="1">
      <c r="A87" s="232"/>
      <c r="B87" s="233" t="s">
        <v>502</v>
      </c>
      <c r="C87" s="233"/>
      <c r="D87" s="234">
        <f>D88+D89</f>
        <v>0</v>
      </c>
      <c r="E87" s="234">
        <f aca="true" t="shared" si="74" ref="E87:F87">E88+E89</f>
        <v>1495973</v>
      </c>
      <c r="F87" s="234">
        <f t="shared" si="74"/>
        <v>0</v>
      </c>
      <c r="G87" s="234">
        <f t="shared" si="73"/>
        <v>1495973</v>
      </c>
      <c r="H87" s="234">
        <f>H88+H89</f>
        <v>1603973</v>
      </c>
      <c r="I87" s="640">
        <f t="shared" si="69"/>
        <v>-108000</v>
      </c>
      <c r="J87" s="235"/>
      <c r="K87" s="233" t="s">
        <v>503</v>
      </c>
      <c r="L87" s="233"/>
      <c r="M87" s="234">
        <f>SUM(M88:M93)</f>
        <v>33127499</v>
      </c>
      <c r="N87" s="234">
        <f aca="true" t="shared" si="75" ref="N87:O87">SUM(N88:N93)</f>
        <v>31596070</v>
      </c>
      <c r="O87" s="234">
        <f t="shared" si="75"/>
        <v>0</v>
      </c>
      <c r="P87" s="234">
        <f>M87+N87-O87</f>
        <v>64723569</v>
      </c>
      <c r="Q87" s="234">
        <f>SUM(Q88:Q93)</f>
        <v>56313636</v>
      </c>
      <c r="R87" s="631">
        <f t="shared" si="59"/>
        <v>8409933</v>
      </c>
    </row>
    <row r="88" spans="1:18" s="214" customFormat="1" ht="18.95" customHeight="1">
      <c r="A88" s="232"/>
      <c r="B88" s="235"/>
      <c r="C88" s="236" t="s">
        <v>504</v>
      </c>
      <c r="D88" s="237"/>
      <c r="E88" s="237">
        <f>160000+100</f>
        <v>160100</v>
      </c>
      <c r="F88" s="237"/>
      <c r="G88" s="237">
        <f t="shared" si="73"/>
        <v>160100</v>
      </c>
      <c r="H88" s="237">
        <v>160100</v>
      </c>
      <c r="I88" s="645">
        <f t="shared" si="69"/>
        <v>0</v>
      </c>
      <c r="J88" s="235"/>
      <c r="K88" s="235"/>
      <c r="L88" s="236" t="s">
        <v>664</v>
      </c>
      <c r="M88" s="237"/>
      <c r="N88" s="237">
        <v>21637225</v>
      </c>
      <c r="O88" s="237"/>
      <c r="P88" s="237">
        <f>M88+N88-O88</f>
        <v>21637225</v>
      </c>
      <c r="Q88" s="237">
        <v>14902095</v>
      </c>
      <c r="R88" s="632">
        <f t="shared" si="59"/>
        <v>6735130</v>
      </c>
    </row>
    <row r="89" spans="1:18" s="214" customFormat="1" ht="18.95" customHeight="1">
      <c r="A89" s="232"/>
      <c r="B89" s="235"/>
      <c r="C89" s="268" t="s">
        <v>505</v>
      </c>
      <c r="D89" s="243"/>
      <c r="E89" s="243">
        <f>1205873+130000</f>
        <v>1335873</v>
      </c>
      <c r="F89" s="243"/>
      <c r="G89" s="237">
        <f t="shared" si="73"/>
        <v>1335873</v>
      </c>
      <c r="H89" s="243">
        <v>1443873</v>
      </c>
      <c r="I89" s="646">
        <f t="shared" si="69"/>
        <v>-108000</v>
      </c>
      <c r="J89" s="235"/>
      <c r="K89" s="235"/>
      <c r="L89" s="236" t="s">
        <v>665</v>
      </c>
      <c r="M89" s="237">
        <v>25381442</v>
      </c>
      <c r="N89" s="237">
        <v>3872343</v>
      </c>
      <c r="O89" s="238"/>
      <c r="P89" s="237">
        <f aca="true" t="shared" si="76" ref="P89:P93">M89+N89-O89</f>
        <v>29253785</v>
      </c>
      <c r="Q89" s="237">
        <v>28281868</v>
      </c>
      <c r="R89" s="632">
        <f t="shared" si="59"/>
        <v>971917</v>
      </c>
    </row>
    <row r="90" spans="1:18" s="214" customFormat="1" ht="18.95" customHeight="1">
      <c r="A90" s="232"/>
      <c r="B90" s="233" t="s">
        <v>506</v>
      </c>
      <c r="C90" s="233"/>
      <c r="D90" s="234">
        <f>D91+D92+D93</f>
        <v>0</v>
      </c>
      <c r="E90" s="234">
        <f aca="true" t="shared" si="77" ref="E90:F90">E91+E92+E93</f>
        <v>11497939</v>
      </c>
      <c r="F90" s="234">
        <f t="shared" si="77"/>
        <v>0</v>
      </c>
      <c r="G90" s="234">
        <f t="shared" si="73"/>
        <v>11497939</v>
      </c>
      <c r="H90" s="234">
        <f>H91+H92+H93</f>
        <v>14689775</v>
      </c>
      <c r="I90" s="640">
        <f t="shared" si="69"/>
        <v>-3191836</v>
      </c>
      <c r="J90" s="235"/>
      <c r="K90" s="235"/>
      <c r="L90" s="236" t="s">
        <v>666</v>
      </c>
      <c r="M90" s="237">
        <v>1574076</v>
      </c>
      <c r="N90" s="237">
        <v>751088</v>
      </c>
      <c r="O90" s="237"/>
      <c r="P90" s="237">
        <f t="shared" si="76"/>
        <v>2325164</v>
      </c>
      <c r="Q90" s="237">
        <v>2257131</v>
      </c>
      <c r="R90" s="632">
        <f t="shared" si="59"/>
        <v>68033</v>
      </c>
    </row>
    <row r="91" spans="1:18" s="214" customFormat="1" ht="18.95" customHeight="1">
      <c r="A91" s="232"/>
      <c r="B91" s="235"/>
      <c r="C91" s="236" t="s">
        <v>507</v>
      </c>
      <c r="D91" s="237"/>
      <c r="E91" s="237">
        <v>152220</v>
      </c>
      <c r="F91" s="237"/>
      <c r="G91" s="237">
        <f t="shared" si="73"/>
        <v>152220</v>
      </c>
      <c r="H91" s="237">
        <v>135270</v>
      </c>
      <c r="I91" s="645">
        <f t="shared" si="69"/>
        <v>16950</v>
      </c>
      <c r="J91" s="235"/>
      <c r="K91" s="235"/>
      <c r="L91" s="236" t="s">
        <v>508</v>
      </c>
      <c r="M91" s="237"/>
      <c r="N91" s="237">
        <v>152220</v>
      </c>
      <c r="O91" s="238"/>
      <c r="P91" s="237">
        <f t="shared" si="76"/>
        <v>152220</v>
      </c>
      <c r="Q91" s="237">
        <v>143480</v>
      </c>
      <c r="R91" s="632">
        <f t="shared" si="59"/>
        <v>8740</v>
      </c>
    </row>
    <row r="92" spans="1:18" s="214" customFormat="1" ht="18.95" customHeight="1">
      <c r="A92" s="232"/>
      <c r="B92" s="235"/>
      <c r="C92" s="236" t="s">
        <v>509</v>
      </c>
      <c r="D92" s="237"/>
      <c r="E92" s="237"/>
      <c r="F92" s="237"/>
      <c r="G92" s="237"/>
      <c r="H92" s="237"/>
      <c r="I92" s="645">
        <f t="shared" si="69"/>
        <v>0</v>
      </c>
      <c r="J92" s="235"/>
      <c r="K92" s="235"/>
      <c r="L92" s="236" t="s">
        <v>510</v>
      </c>
      <c r="M92" s="237">
        <v>4199246</v>
      </c>
      <c r="N92" s="237">
        <f>2460548+175000+10000+17260</f>
        <v>2662808</v>
      </c>
      <c r="O92" s="238"/>
      <c r="P92" s="237">
        <f t="shared" si="76"/>
        <v>6862054</v>
      </c>
      <c r="Q92" s="237">
        <v>6738321</v>
      </c>
      <c r="R92" s="632">
        <f t="shared" si="59"/>
        <v>123733</v>
      </c>
    </row>
    <row r="93" spans="1:18" s="214" customFormat="1" ht="18.95" customHeight="1">
      <c r="A93" s="232"/>
      <c r="B93" s="235"/>
      <c r="C93" s="236" t="s">
        <v>511</v>
      </c>
      <c r="D93" s="251"/>
      <c r="E93" s="237">
        <f>7411734+1198180+2417760+318045</f>
        <v>11345719</v>
      </c>
      <c r="F93" s="237"/>
      <c r="G93" s="237">
        <f>D93+E93-F93</f>
        <v>11345719</v>
      </c>
      <c r="H93" s="237">
        <v>14554505</v>
      </c>
      <c r="I93" s="645">
        <f t="shared" si="69"/>
        <v>-3208786</v>
      </c>
      <c r="J93" s="235"/>
      <c r="K93" s="235"/>
      <c r="L93" s="268" t="s">
        <v>512</v>
      </c>
      <c r="M93" s="243">
        <v>1972735</v>
      </c>
      <c r="N93" s="243">
        <f>2493386+7000+20000</f>
        <v>2520386</v>
      </c>
      <c r="O93" s="244"/>
      <c r="P93" s="237">
        <f t="shared" si="76"/>
        <v>4493121</v>
      </c>
      <c r="Q93" s="243">
        <v>3990741</v>
      </c>
      <c r="R93" s="633">
        <f t="shared" si="59"/>
        <v>502380</v>
      </c>
    </row>
    <row r="94" spans="1:18" s="214" customFormat="1" ht="18.95" customHeight="1">
      <c r="A94" s="232"/>
      <c r="B94" s="235"/>
      <c r="C94" s="235"/>
      <c r="D94" s="235"/>
      <c r="E94" s="235"/>
      <c r="F94" s="235"/>
      <c r="G94" s="235"/>
      <c r="H94" s="235"/>
      <c r="I94" s="643"/>
      <c r="J94" s="235"/>
      <c r="K94" s="233" t="s">
        <v>513</v>
      </c>
      <c r="L94" s="233"/>
      <c r="M94" s="234">
        <f>SUM(M95:M96)</f>
        <v>0</v>
      </c>
      <c r="N94" s="234">
        <f aca="true" t="shared" si="78" ref="N94:O94">SUM(N95:N96)</f>
        <v>5398197</v>
      </c>
      <c r="O94" s="234">
        <f t="shared" si="78"/>
        <v>0</v>
      </c>
      <c r="P94" s="234">
        <f aca="true" t="shared" si="79" ref="P94:P101">M94+N94-O94</f>
        <v>5398197</v>
      </c>
      <c r="Q94" s="234">
        <f>SUM(Q95:Q96)</f>
        <v>4408550</v>
      </c>
      <c r="R94" s="631">
        <f t="shared" si="59"/>
        <v>989647</v>
      </c>
    </row>
    <row r="95" spans="1:18" s="214" customFormat="1" ht="18.95" customHeight="1">
      <c r="A95" s="232"/>
      <c r="B95" s="235"/>
      <c r="C95" s="235"/>
      <c r="D95" s="235"/>
      <c r="E95" s="235"/>
      <c r="F95" s="235"/>
      <c r="G95" s="235"/>
      <c r="H95" s="235"/>
      <c r="I95" s="643"/>
      <c r="J95" s="235"/>
      <c r="K95" s="235"/>
      <c r="L95" s="236" t="s">
        <v>514</v>
      </c>
      <c r="M95" s="237">
        <v>0</v>
      </c>
      <c r="N95" s="237">
        <v>1778638</v>
      </c>
      <c r="O95" s="238"/>
      <c r="P95" s="237">
        <f t="shared" si="79"/>
        <v>1778638</v>
      </c>
      <c r="Q95" s="237">
        <v>1399590</v>
      </c>
      <c r="R95" s="632">
        <f t="shared" si="59"/>
        <v>379048</v>
      </c>
    </row>
    <row r="96" spans="1:18" s="214" customFormat="1" ht="18.95" customHeight="1">
      <c r="A96" s="232"/>
      <c r="B96" s="235"/>
      <c r="C96" s="235"/>
      <c r="D96" s="235"/>
      <c r="E96" s="235"/>
      <c r="F96" s="235"/>
      <c r="G96" s="235"/>
      <c r="H96" s="235"/>
      <c r="I96" s="643"/>
      <c r="J96" s="235"/>
      <c r="K96" s="235"/>
      <c r="L96" s="268" t="s">
        <v>515</v>
      </c>
      <c r="M96" s="243">
        <v>0</v>
      </c>
      <c r="N96" s="243">
        <v>3619559</v>
      </c>
      <c r="O96" s="244"/>
      <c r="P96" s="237">
        <f t="shared" si="79"/>
        <v>3619559</v>
      </c>
      <c r="Q96" s="243">
        <v>3008960</v>
      </c>
      <c r="R96" s="633">
        <f t="shared" si="59"/>
        <v>610599</v>
      </c>
    </row>
    <row r="97" spans="1:18" s="214" customFormat="1" ht="18.95" customHeight="1">
      <c r="A97" s="245" t="s">
        <v>516</v>
      </c>
      <c r="B97" s="246"/>
      <c r="C97" s="246"/>
      <c r="D97" s="247">
        <f>D98+D100</f>
        <v>550000</v>
      </c>
      <c r="E97" s="247">
        <f aca="true" t="shared" si="80" ref="E97:F97">E98+E100</f>
        <v>2746788</v>
      </c>
      <c r="F97" s="247">
        <f t="shared" si="80"/>
        <v>0</v>
      </c>
      <c r="G97" s="247">
        <f>D97+E97-F97</f>
        <v>3296788</v>
      </c>
      <c r="H97" s="247">
        <f>H98+H100</f>
        <v>3320788</v>
      </c>
      <c r="I97" s="644">
        <f aca="true" t="shared" si="81" ref="I97:I101">G97-H97</f>
        <v>-24000</v>
      </c>
      <c r="J97" s="248" t="s">
        <v>517</v>
      </c>
      <c r="K97" s="246"/>
      <c r="L97" s="246"/>
      <c r="M97" s="247">
        <f>M98+M100</f>
        <v>210000</v>
      </c>
      <c r="N97" s="247">
        <f aca="true" t="shared" si="82" ref="N97:O97">N98+N100</f>
        <v>1864916</v>
      </c>
      <c r="O97" s="247">
        <f t="shared" si="82"/>
        <v>0</v>
      </c>
      <c r="P97" s="247">
        <f t="shared" si="79"/>
        <v>2074916</v>
      </c>
      <c r="Q97" s="247">
        <f>Q98+Q100</f>
        <v>1113360</v>
      </c>
      <c r="R97" s="634">
        <f t="shared" si="59"/>
        <v>961556</v>
      </c>
    </row>
    <row r="98" spans="1:18" s="214" customFormat="1" ht="18.95" customHeight="1">
      <c r="A98" s="232"/>
      <c r="B98" s="233" t="s">
        <v>518</v>
      </c>
      <c r="C98" s="233"/>
      <c r="D98" s="234">
        <f>D99</f>
        <v>400000</v>
      </c>
      <c r="E98" s="234">
        <f aca="true" t="shared" si="83" ref="E98:F98">E99</f>
        <v>1937194</v>
      </c>
      <c r="F98" s="234">
        <f t="shared" si="83"/>
        <v>0</v>
      </c>
      <c r="G98" s="234">
        <f>D98+E98-F98</f>
        <v>2337194</v>
      </c>
      <c r="H98" s="234">
        <f>H99</f>
        <v>2737194</v>
      </c>
      <c r="I98" s="640">
        <f t="shared" si="81"/>
        <v>-400000</v>
      </c>
      <c r="J98" s="235"/>
      <c r="K98" s="233" t="s">
        <v>519</v>
      </c>
      <c r="L98" s="233"/>
      <c r="M98" s="234">
        <f>M99</f>
        <v>0</v>
      </c>
      <c r="N98" s="234">
        <f aca="true" t="shared" si="84" ref="N98:O98">N99</f>
        <v>588116</v>
      </c>
      <c r="O98" s="234">
        <f t="shared" si="84"/>
        <v>0</v>
      </c>
      <c r="P98" s="234">
        <f t="shared" si="79"/>
        <v>588116</v>
      </c>
      <c r="Q98" s="234">
        <f>Q99</f>
        <v>608260</v>
      </c>
      <c r="R98" s="631">
        <f t="shared" si="59"/>
        <v>-20144</v>
      </c>
    </row>
    <row r="99" spans="1:18" s="214" customFormat="1" ht="18.95" customHeight="1">
      <c r="A99" s="232"/>
      <c r="B99" s="235"/>
      <c r="C99" s="268" t="s">
        <v>667</v>
      </c>
      <c r="D99" s="525">
        <v>400000</v>
      </c>
      <c r="E99" s="525">
        <f>1777774+80100+75000+4320</f>
        <v>1937194</v>
      </c>
      <c r="F99" s="242"/>
      <c r="G99" s="525">
        <f>D99+E99-F99</f>
        <v>2337194</v>
      </c>
      <c r="H99" s="651">
        <v>2737194</v>
      </c>
      <c r="I99" s="646">
        <f t="shared" si="81"/>
        <v>-400000</v>
      </c>
      <c r="J99" s="235"/>
      <c r="K99" s="252"/>
      <c r="L99" s="268" t="s">
        <v>668</v>
      </c>
      <c r="M99" s="253">
        <v>0</v>
      </c>
      <c r="N99" s="253">
        <v>588116</v>
      </c>
      <c r="O99" s="254"/>
      <c r="P99" s="253">
        <f t="shared" si="79"/>
        <v>588116</v>
      </c>
      <c r="Q99" s="253">
        <v>608260</v>
      </c>
      <c r="R99" s="636">
        <f t="shared" si="59"/>
        <v>-20144</v>
      </c>
    </row>
    <row r="100" spans="1:18" s="214" customFormat="1" ht="18.95" customHeight="1">
      <c r="A100" s="232"/>
      <c r="B100" s="233" t="s">
        <v>520</v>
      </c>
      <c r="C100" s="233"/>
      <c r="D100" s="234">
        <f>D101</f>
        <v>150000</v>
      </c>
      <c r="E100" s="234">
        <f aca="true" t="shared" si="85" ref="E100:F100">E101</f>
        <v>809594</v>
      </c>
      <c r="F100" s="234">
        <f t="shared" si="85"/>
        <v>0</v>
      </c>
      <c r="G100" s="234">
        <f>D100+E100-F100</f>
        <v>959594</v>
      </c>
      <c r="H100" s="234">
        <f>H101</f>
        <v>583594</v>
      </c>
      <c r="I100" s="640">
        <f t="shared" si="81"/>
        <v>376000</v>
      </c>
      <c r="J100" s="235"/>
      <c r="K100" s="233" t="s">
        <v>521</v>
      </c>
      <c r="L100" s="233"/>
      <c r="M100" s="234">
        <f>M101</f>
        <v>210000</v>
      </c>
      <c r="N100" s="234">
        <f aca="true" t="shared" si="86" ref="N100:O100">N101</f>
        <v>1276800</v>
      </c>
      <c r="O100" s="234">
        <f t="shared" si="86"/>
        <v>0</v>
      </c>
      <c r="P100" s="234">
        <f t="shared" si="79"/>
        <v>1486800</v>
      </c>
      <c r="Q100" s="234">
        <f>Q101</f>
        <v>505100</v>
      </c>
      <c r="R100" s="631">
        <f t="shared" si="59"/>
        <v>981700</v>
      </c>
    </row>
    <row r="101" spans="1:18" s="214" customFormat="1" ht="18.95" customHeight="1">
      <c r="A101" s="232"/>
      <c r="B101" s="235"/>
      <c r="C101" s="236" t="s">
        <v>522</v>
      </c>
      <c r="D101" s="237">
        <v>150000</v>
      </c>
      <c r="E101" s="237">
        <f>769594+20000+20000</f>
        <v>809594</v>
      </c>
      <c r="F101" s="237"/>
      <c r="G101" s="237">
        <f>D101+E101-F101</f>
        <v>959594</v>
      </c>
      <c r="H101" s="237">
        <v>583594</v>
      </c>
      <c r="I101" s="645">
        <f t="shared" si="81"/>
        <v>376000</v>
      </c>
      <c r="J101" s="235"/>
      <c r="K101" s="235"/>
      <c r="L101" s="236" t="s">
        <v>523</v>
      </c>
      <c r="M101" s="237">
        <v>210000</v>
      </c>
      <c r="N101" s="237">
        <f>1270000+4800+2000</f>
        <v>1276800</v>
      </c>
      <c r="O101" s="238"/>
      <c r="P101" s="237">
        <f t="shared" si="79"/>
        <v>1486800</v>
      </c>
      <c r="Q101" s="237">
        <v>505100</v>
      </c>
      <c r="R101" s="632">
        <f t="shared" si="59"/>
        <v>981700</v>
      </c>
    </row>
    <row r="102" spans="1:18" s="214" customFormat="1" ht="18.95" customHeight="1">
      <c r="A102" s="232"/>
      <c r="B102" s="235"/>
      <c r="C102" s="255"/>
      <c r="D102" s="249"/>
      <c r="E102" s="249"/>
      <c r="F102" s="249"/>
      <c r="G102" s="249"/>
      <c r="H102" s="249"/>
      <c r="I102" s="643"/>
      <c r="J102" s="235"/>
      <c r="K102" s="235"/>
      <c r="L102" s="235"/>
      <c r="M102" s="249"/>
      <c r="N102" s="249"/>
      <c r="O102" s="250"/>
      <c r="P102" s="249"/>
      <c r="Q102" s="249"/>
      <c r="R102" s="635"/>
    </row>
    <row r="103" spans="1:18" s="214" customFormat="1" ht="18.95" customHeight="1">
      <c r="A103" s="232"/>
      <c r="B103" s="235"/>
      <c r="C103" s="235"/>
      <c r="D103" s="249"/>
      <c r="E103" s="249"/>
      <c r="F103" s="250"/>
      <c r="G103" s="249"/>
      <c r="H103" s="249"/>
      <c r="I103" s="643"/>
      <c r="J103" s="248" t="s">
        <v>524</v>
      </c>
      <c r="K103" s="246"/>
      <c r="L103" s="247"/>
      <c r="M103" s="247">
        <f>M104+M108</f>
        <v>0</v>
      </c>
      <c r="N103" s="247">
        <f aca="true" t="shared" si="87" ref="N103:O103">N104+N108</f>
        <v>0</v>
      </c>
      <c r="O103" s="247">
        <f t="shared" si="87"/>
        <v>0</v>
      </c>
      <c r="P103" s="247">
        <f>M103+N103-O103</f>
        <v>0</v>
      </c>
      <c r="Q103" s="247">
        <f>Q104+Q108</f>
        <v>0</v>
      </c>
      <c r="R103" s="634">
        <f aca="true" t="shared" si="88" ref="R103:R119">P103-Q103</f>
        <v>0</v>
      </c>
    </row>
    <row r="104" spans="1:18" s="214" customFormat="1" ht="18.95" customHeight="1">
      <c r="A104" s="232"/>
      <c r="B104" s="235"/>
      <c r="C104" s="235"/>
      <c r="D104" s="249"/>
      <c r="E104" s="249"/>
      <c r="F104" s="250"/>
      <c r="G104" s="249"/>
      <c r="H104" s="249"/>
      <c r="I104" s="643"/>
      <c r="J104" s="235"/>
      <c r="K104" s="233" t="s">
        <v>525</v>
      </c>
      <c r="L104" s="233"/>
      <c r="M104" s="234">
        <f>SUM(M105:M107)</f>
        <v>0</v>
      </c>
      <c r="N104" s="234">
        <f aca="true" t="shared" si="89" ref="N104:O104">SUM(N105:N107)</f>
        <v>0</v>
      </c>
      <c r="O104" s="234">
        <f t="shared" si="89"/>
        <v>0</v>
      </c>
      <c r="P104" s="234">
        <f>M104+N104-O104</f>
        <v>0</v>
      </c>
      <c r="Q104" s="234">
        <f>SUM(Q105:Q107)</f>
        <v>0</v>
      </c>
      <c r="R104" s="631">
        <f t="shared" si="88"/>
        <v>0</v>
      </c>
    </row>
    <row r="105" spans="1:18" s="214" customFormat="1" ht="18.95" customHeight="1">
      <c r="A105" s="232"/>
      <c r="B105" s="235"/>
      <c r="C105" s="235"/>
      <c r="D105" s="249"/>
      <c r="E105" s="249"/>
      <c r="F105" s="250"/>
      <c r="G105" s="249"/>
      <c r="H105" s="249"/>
      <c r="I105" s="643"/>
      <c r="J105" s="235"/>
      <c r="K105" s="235"/>
      <c r="L105" s="236" t="s">
        <v>526</v>
      </c>
      <c r="M105" s="237"/>
      <c r="N105" s="237"/>
      <c r="O105" s="238"/>
      <c r="P105" s="237"/>
      <c r="Q105" s="237"/>
      <c r="R105" s="632">
        <f t="shared" si="88"/>
        <v>0</v>
      </c>
    </row>
    <row r="106" spans="1:18" s="214" customFormat="1" ht="18.95" customHeight="1">
      <c r="A106" s="232"/>
      <c r="B106" s="235"/>
      <c r="C106" s="235"/>
      <c r="D106" s="249"/>
      <c r="E106" s="249"/>
      <c r="F106" s="250"/>
      <c r="G106" s="249"/>
      <c r="H106" s="249"/>
      <c r="I106" s="643"/>
      <c r="J106" s="235"/>
      <c r="K106" s="235"/>
      <c r="L106" s="236" t="s">
        <v>527</v>
      </c>
      <c r="M106" s="237"/>
      <c r="N106" s="237"/>
      <c r="O106" s="272"/>
      <c r="P106" s="237">
        <v>0</v>
      </c>
      <c r="Q106" s="237">
        <v>0</v>
      </c>
      <c r="R106" s="632">
        <f t="shared" si="88"/>
        <v>0</v>
      </c>
    </row>
    <row r="107" spans="1:18" s="214" customFormat="1" ht="18.95" customHeight="1">
      <c r="A107" s="232"/>
      <c r="B107" s="235"/>
      <c r="C107" s="235"/>
      <c r="D107" s="249"/>
      <c r="E107" s="249"/>
      <c r="F107" s="250"/>
      <c r="G107" s="249"/>
      <c r="H107" s="249"/>
      <c r="I107" s="643"/>
      <c r="J107" s="235"/>
      <c r="K107" s="235"/>
      <c r="L107" s="268" t="s">
        <v>669</v>
      </c>
      <c r="M107" s="243"/>
      <c r="N107" s="243"/>
      <c r="O107" s="273"/>
      <c r="P107" s="243"/>
      <c r="Q107" s="243"/>
      <c r="R107" s="633">
        <f t="shared" si="88"/>
        <v>0</v>
      </c>
    </row>
    <row r="108" spans="1:18" s="214" customFormat="1" ht="18.95" customHeight="1">
      <c r="A108" s="232"/>
      <c r="B108" s="235"/>
      <c r="C108" s="235"/>
      <c r="D108" s="249"/>
      <c r="E108" s="249"/>
      <c r="F108" s="250"/>
      <c r="G108" s="249"/>
      <c r="H108" s="249"/>
      <c r="I108" s="643"/>
      <c r="J108" s="235"/>
      <c r="K108" s="233" t="s">
        <v>528</v>
      </c>
      <c r="L108" s="233"/>
      <c r="M108" s="234">
        <f>SUM(M109:M110)</f>
        <v>0</v>
      </c>
      <c r="N108" s="234">
        <f aca="true" t="shared" si="90" ref="N108:O108">SUM(N109:N110)</f>
        <v>0</v>
      </c>
      <c r="O108" s="234">
        <f t="shared" si="90"/>
        <v>0</v>
      </c>
      <c r="P108" s="234">
        <f>M108+N108-O108</f>
        <v>0</v>
      </c>
      <c r="Q108" s="234">
        <f>SUM(Q109:Q110)</f>
        <v>0</v>
      </c>
      <c r="R108" s="631">
        <f t="shared" si="88"/>
        <v>0</v>
      </c>
    </row>
    <row r="109" spans="1:18" s="214" customFormat="1" ht="18.95" customHeight="1">
      <c r="A109" s="232"/>
      <c r="B109" s="235"/>
      <c r="C109" s="235"/>
      <c r="D109" s="249"/>
      <c r="E109" s="249"/>
      <c r="F109" s="250"/>
      <c r="G109" s="249"/>
      <c r="H109" s="249"/>
      <c r="I109" s="643"/>
      <c r="J109" s="235"/>
      <c r="K109" s="235"/>
      <c r="L109" s="236" t="s">
        <v>529</v>
      </c>
      <c r="M109" s="237"/>
      <c r="N109" s="237"/>
      <c r="O109" s="237"/>
      <c r="P109" s="237"/>
      <c r="Q109" s="237"/>
      <c r="R109" s="632">
        <f t="shared" si="88"/>
        <v>0</v>
      </c>
    </row>
    <row r="110" spans="1:18" s="214" customFormat="1" ht="18.95" customHeight="1">
      <c r="A110" s="232"/>
      <c r="B110" s="235"/>
      <c r="C110" s="235"/>
      <c r="D110" s="249"/>
      <c r="E110" s="249"/>
      <c r="F110" s="250"/>
      <c r="G110" s="249"/>
      <c r="H110" s="249"/>
      <c r="I110" s="643"/>
      <c r="J110" s="235"/>
      <c r="K110" s="235"/>
      <c r="L110" s="268" t="s">
        <v>530</v>
      </c>
      <c r="M110" s="243"/>
      <c r="N110" s="243"/>
      <c r="O110" s="243"/>
      <c r="P110" s="243"/>
      <c r="Q110" s="243"/>
      <c r="R110" s="633">
        <f t="shared" si="88"/>
        <v>0</v>
      </c>
    </row>
    <row r="111" spans="1:18" s="214" customFormat="1" ht="18.95" customHeight="1">
      <c r="A111" s="232"/>
      <c r="B111" s="235"/>
      <c r="C111" s="235"/>
      <c r="D111" s="249"/>
      <c r="E111" s="249"/>
      <c r="F111" s="250"/>
      <c r="G111" s="249"/>
      <c r="H111" s="249"/>
      <c r="I111" s="643"/>
      <c r="J111" s="248" t="s">
        <v>531</v>
      </c>
      <c r="K111" s="246"/>
      <c r="L111" s="246"/>
      <c r="M111" s="247">
        <f>M112</f>
        <v>0</v>
      </c>
      <c r="N111" s="247">
        <f aca="true" t="shared" si="91" ref="N111:O112">N112</f>
        <v>3053623</v>
      </c>
      <c r="O111" s="247">
        <f t="shared" si="91"/>
        <v>0</v>
      </c>
      <c r="P111" s="247">
        <f aca="true" t="shared" si="92" ref="P111:P116">M111+N111-O111</f>
        <v>3053623</v>
      </c>
      <c r="Q111" s="247">
        <f>Q112</f>
        <v>3102059</v>
      </c>
      <c r="R111" s="634">
        <f t="shared" si="88"/>
        <v>-48436</v>
      </c>
    </row>
    <row r="112" spans="1:18" s="214" customFormat="1" ht="18.95" customHeight="1">
      <c r="A112" s="232"/>
      <c r="B112" s="235"/>
      <c r="C112" s="235"/>
      <c r="D112" s="249"/>
      <c r="E112" s="249"/>
      <c r="F112" s="250"/>
      <c r="G112" s="249"/>
      <c r="H112" s="249"/>
      <c r="I112" s="643"/>
      <c r="J112" s="235"/>
      <c r="K112" s="233" t="s">
        <v>670</v>
      </c>
      <c r="L112" s="233"/>
      <c r="M112" s="234">
        <f>M113</f>
        <v>0</v>
      </c>
      <c r="N112" s="234">
        <f t="shared" si="91"/>
        <v>3053623</v>
      </c>
      <c r="O112" s="234">
        <f t="shared" si="91"/>
        <v>0</v>
      </c>
      <c r="P112" s="234">
        <f t="shared" si="92"/>
        <v>3053623</v>
      </c>
      <c r="Q112" s="234">
        <f>Q113</f>
        <v>3102059</v>
      </c>
      <c r="R112" s="631">
        <f t="shared" si="88"/>
        <v>-48436</v>
      </c>
    </row>
    <row r="113" spans="1:18" s="214" customFormat="1" ht="18.95" customHeight="1">
      <c r="A113" s="232"/>
      <c r="B113" s="235"/>
      <c r="C113" s="235"/>
      <c r="D113" s="249"/>
      <c r="E113" s="249"/>
      <c r="F113" s="250"/>
      <c r="G113" s="249"/>
      <c r="H113" s="249"/>
      <c r="I113" s="643"/>
      <c r="J113" s="235"/>
      <c r="K113" s="235"/>
      <c r="L113" s="268" t="s">
        <v>671</v>
      </c>
      <c r="M113" s="243"/>
      <c r="N113" s="243">
        <f>1600673+1322360+2973+127617</f>
        <v>3053623</v>
      </c>
      <c r="O113" s="243"/>
      <c r="P113" s="243">
        <f t="shared" si="92"/>
        <v>3053623</v>
      </c>
      <c r="Q113" s="243">
        <v>3102059</v>
      </c>
      <c r="R113" s="633">
        <f t="shared" si="88"/>
        <v>-48436</v>
      </c>
    </row>
    <row r="114" spans="1:18" s="214" customFormat="1" ht="18.95" customHeight="1">
      <c r="A114" s="256" t="s">
        <v>532</v>
      </c>
      <c r="B114" s="257"/>
      <c r="C114" s="257"/>
      <c r="D114" s="258">
        <f>D23+D38+D83+D97</f>
        <v>144413508</v>
      </c>
      <c r="E114" s="258">
        <f aca="true" t="shared" si="93" ref="E114:F114">E23+E38+E83+E97</f>
        <v>78946003</v>
      </c>
      <c r="F114" s="258">
        <f t="shared" si="93"/>
        <v>0</v>
      </c>
      <c r="G114" s="258">
        <f>D114+E114-F114</f>
        <v>223359511</v>
      </c>
      <c r="H114" s="258">
        <f>H23+H38+H83+H97</f>
        <v>218365870</v>
      </c>
      <c r="I114" s="647">
        <f aca="true" t="shared" si="94" ref="I114:I148">G114-H114</f>
        <v>4993641</v>
      </c>
      <c r="J114" s="259" t="s">
        <v>533</v>
      </c>
      <c r="K114" s="257"/>
      <c r="L114" s="257"/>
      <c r="M114" s="258">
        <f>M23+M51+M83+M97+M103+M111</f>
        <v>139224160</v>
      </c>
      <c r="N114" s="258">
        <f aca="true" t="shared" si="95" ref="N114:O114">N23+N51+N83+N97+N103+N111</f>
        <v>76495212</v>
      </c>
      <c r="O114" s="258">
        <f t="shared" si="95"/>
        <v>0</v>
      </c>
      <c r="P114" s="258">
        <f t="shared" si="92"/>
        <v>215719372</v>
      </c>
      <c r="Q114" s="258">
        <f>Q23+Q51+Q83+Q97+Q103+Q111</f>
        <v>203709661</v>
      </c>
      <c r="R114" s="637">
        <f t="shared" si="88"/>
        <v>12009711</v>
      </c>
    </row>
    <row r="115" spans="1:18" s="214" customFormat="1" ht="18.95" customHeight="1">
      <c r="A115" s="245" t="s">
        <v>534</v>
      </c>
      <c r="B115" s="246"/>
      <c r="C115" s="246"/>
      <c r="D115" s="247">
        <f>D116+D121+D126+D131</f>
        <v>0</v>
      </c>
      <c r="E115" s="247">
        <f aca="true" t="shared" si="96" ref="E115:F115">E116+E121+E126+E131</f>
        <v>31093664</v>
      </c>
      <c r="F115" s="247">
        <f t="shared" si="96"/>
        <v>0</v>
      </c>
      <c r="G115" s="247">
        <f>D115+E115-F115</f>
        <v>31093664</v>
      </c>
      <c r="H115" s="247">
        <f>H116+H121+H126+H131</f>
        <v>22568831</v>
      </c>
      <c r="I115" s="644">
        <f t="shared" si="94"/>
        <v>8524833</v>
      </c>
      <c r="J115" s="248" t="s">
        <v>535</v>
      </c>
      <c r="K115" s="246"/>
      <c r="L115" s="246"/>
      <c r="M115" s="247">
        <f>M116+M121+M126+M131</f>
        <v>0</v>
      </c>
      <c r="N115" s="247">
        <f aca="true" t="shared" si="97" ref="N115:O115">N116+N121+N126+N131</f>
        <v>13224421</v>
      </c>
      <c r="O115" s="247">
        <f t="shared" si="97"/>
        <v>0</v>
      </c>
      <c r="P115" s="247">
        <f t="shared" si="92"/>
        <v>13224421</v>
      </c>
      <c r="Q115" s="247">
        <f>Q116+Q121+Q126+Q131</f>
        <v>13128912</v>
      </c>
      <c r="R115" s="634">
        <f t="shared" si="88"/>
        <v>95509</v>
      </c>
    </row>
    <row r="116" spans="1:18" s="214" customFormat="1" ht="18.95" customHeight="1">
      <c r="A116" s="232"/>
      <c r="B116" s="233" t="s">
        <v>536</v>
      </c>
      <c r="C116" s="233"/>
      <c r="D116" s="234">
        <f>SUM(D117:D120)</f>
        <v>0</v>
      </c>
      <c r="E116" s="234">
        <f aca="true" t="shared" si="98" ref="E116:F116">SUM(E117:E120)</f>
        <v>0</v>
      </c>
      <c r="F116" s="234">
        <f t="shared" si="98"/>
        <v>0</v>
      </c>
      <c r="G116" s="234">
        <f>D116+E116-F116</f>
        <v>0</v>
      </c>
      <c r="H116" s="234">
        <f>SUM(H117:H120)</f>
        <v>0</v>
      </c>
      <c r="I116" s="640">
        <f t="shared" si="94"/>
        <v>0</v>
      </c>
      <c r="J116" s="235"/>
      <c r="K116" s="233" t="s">
        <v>537</v>
      </c>
      <c r="L116" s="233"/>
      <c r="M116" s="234">
        <f>SUM(M117:M119)</f>
        <v>0</v>
      </c>
      <c r="N116" s="234">
        <f aca="true" t="shared" si="99" ref="N116:O116">SUM(N117:N119)</f>
        <v>0</v>
      </c>
      <c r="O116" s="234">
        <f t="shared" si="99"/>
        <v>0</v>
      </c>
      <c r="P116" s="234">
        <f t="shared" si="92"/>
        <v>0</v>
      </c>
      <c r="Q116" s="234">
        <f>SUM(Q117:Q119)</f>
        <v>0</v>
      </c>
      <c r="R116" s="631">
        <f t="shared" si="88"/>
        <v>0</v>
      </c>
    </row>
    <row r="117" spans="1:18" s="214" customFormat="1" ht="18.95" customHeight="1">
      <c r="A117" s="232"/>
      <c r="B117" s="235"/>
      <c r="C117" s="236" t="s">
        <v>538</v>
      </c>
      <c r="D117" s="237"/>
      <c r="E117" s="237"/>
      <c r="F117" s="237"/>
      <c r="G117" s="237"/>
      <c r="H117" s="237"/>
      <c r="I117" s="645">
        <f t="shared" si="94"/>
        <v>0</v>
      </c>
      <c r="J117" s="235"/>
      <c r="K117" s="235"/>
      <c r="L117" s="236" t="s">
        <v>539</v>
      </c>
      <c r="M117" s="237"/>
      <c r="N117" s="237"/>
      <c r="O117" s="238"/>
      <c r="P117" s="237"/>
      <c r="Q117" s="237"/>
      <c r="R117" s="632">
        <f t="shared" si="88"/>
        <v>0</v>
      </c>
    </row>
    <row r="118" spans="1:18" s="214" customFormat="1" ht="18.95" customHeight="1">
      <c r="A118" s="232"/>
      <c r="B118" s="235"/>
      <c r="C118" s="236" t="s">
        <v>540</v>
      </c>
      <c r="D118" s="237"/>
      <c r="E118" s="237"/>
      <c r="F118" s="237"/>
      <c r="G118" s="237"/>
      <c r="H118" s="237"/>
      <c r="I118" s="645">
        <f t="shared" si="94"/>
        <v>0</v>
      </c>
      <c r="J118" s="235"/>
      <c r="K118" s="235"/>
      <c r="L118" s="236" t="s">
        <v>672</v>
      </c>
      <c r="M118" s="237"/>
      <c r="N118" s="237"/>
      <c r="O118" s="238"/>
      <c r="P118" s="237"/>
      <c r="Q118" s="237"/>
      <c r="R118" s="632">
        <f t="shared" si="88"/>
        <v>0</v>
      </c>
    </row>
    <row r="119" spans="1:18" s="214" customFormat="1" ht="18.95" customHeight="1">
      <c r="A119" s="232"/>
      <c r="B119" s="235"/>
      <c r="C119" s="236" t="s">
        <v>673</v>
      </c>
      <c r="D119" s="237"/>
      <c r="E119" s="237"/>
      <c r="F119" s="237"/>
      <c r="G119" s="237"/>
      <c r="H119" s="237"/>
      <c r="I119" s="645">
        <f t="shared" si="94"/>
        <v>0</v>
      </c>
      <c r="J119" s="235"/>
      <c r="K119" s="235"/>
      <c r="L119" s="236" t="s">
        <v>541</v>
      </c>
      <c r="M119" s="237"/>
      <c r="N119" s="237"/>
      <c r="O119" s="238"/>
      <c r="P119" s="237"/>
      <c r="Q119" s="237"/>
      <c r="R119" s="632">
        <f t="shared" si="88"/>
        <v>0</v>
      </c>
    </row>
    <row r="120" spans="1:18" s="214" customFormat="1" ht="18.95" customHeight="1">
      <c r="A120" s="232"/>
      <c r="B120" s="235"/>
      <c r="C120" s="268" t="s">
        <v>542</v>
      </c>
      <c r="D120" s="243"/>
      <c r="E120" s="243"/>
      <c r="F120" s="243"/>
      <c r="G120" s="243"/>
      <c r="H120" s="243"/>
      <c r="I120" s="646">
        <f t="shared" si="94"/>
        <v>0</v>
      </c>
      <c r="J120" s="235"/>
      <c r="K120" s="235"/>
      <c r="L120" s="235"/>
      <c r="M120" s="249"/>
      <c r="N120" s="249"/>
      <c r="O120" s="250"/>
      <c r="P120" s="249"/>
      <c r="Q120" s="249"/>
      <c r="R120" s="635"/>
    </row>
    <row r="121" spans="1:18" s="214" customFormat="1" ht="18.95" customHeight="1">
      <c r="A121" s="232"/>
      <c r="B121" s="233" t="s">
        <v>543</v>
      </c>
      <c r="C121" s="233"/>
      <c r="D121" s="234">
        <f>SUM(D122:D125)</f>
        <v>0</v>
      </c>
      <c r="E121" s="234">
        <f aca="true" t="shared" si="100" ref="E121:F121">SUM(E122:E125)</f>
        <v>8000</v>
      </c>
      <c r="F121" s="234">
        <f t="shared" si="100"/>
        <v>0</v>
      </c>
      <c r="G121" s="234">
        <f>D121+E121-F121</f>
        <v>8000</v>
      </c>
      <c r="H121" s="234">
        <f>SUM(H122:H125)</f>
        <v>8000</v>
      </c>
      <c r="I121" s="640">
        <f t="shared" si="94"/>
        <v>0</v>
      </c>
      <c r="J121" s="235"/>
      <c r="K121" s="233" t="s">
        <v>544</v>
      </c>
      <c r="L121" s="233"/>
      <c r="M121" s="234">
        <f>SUM(M122:M125)</f>
        <v>0</v>
      </c>
      <c r="N121" s="234">
        <f aca="true" t="shared" si="101" ref="N121:O121">SUM(N122:N125)</f>
        <v>165510</v>
      </c>
      <c r="O121" s="234">
        <f t="shared" si="101"/>
        <v>0</v>
      </c>
      <c r="P121" s="234">
        <f>M121+N121-O121</f>
        <v>165510</v>
      </c>
      <c r="Q121" s="234">
        <f>SUM(Q122:Q125)</f>
        <v>10000</v>
      </c>
      <c r="R121" s="631">
        <f aca="true" t="shared" si="102" ref="R121:R161">P121-Q121</f>
        <v>155510</v>
      </c>
    </row>
    <row r="122" spans="1:18" s="214" customFormat="1" ht="18.95" customHeight="1">
      <c r="A122" s="232"/>
      <c r="B122" s="235"/>
      <c r="C122" s="236" t="s">
        <v>545</v>
      </c>
      <c r="D122" s="237"/>
      <c r="E122" s="237"/>
      <c r="F122" s="237"/>
      <c r="G122" s="237"/>
      <c r="H122" s="237"/>
      <c r="I122" s="645">
        <f t="shared" si="94"/>
        <v>0</v>
      </c>
      <c r="J122" s="235"/>
      <c r="K122" s="235"/>
      <c r="L122" s="236" t="s">
        <v>546</v>
      </c>
      <c r="M122" s="237"/>
      <c r="N122" s="237"/>
      <c r="O122" s="238"/>
      <c r="P122" s="237"/>
      <c r="Q122" s="237"/>
      <c r="R122" s="632">
        <f t="shared" si="102"/>
        <v>0</v>
      </c>
    </row>
    <row r="123" spans="1:18" s="214" customFormat="1" ht="18.95" customHeight="1">
      <c r="A123" s="232"/>
      <c r="B123" s="235"/>
      <c r="C123" s="236" t="s">
        <v>547</v>
      </c>
      <c r="D123" s="237"/>
      <c r="E123" s="237">
        <v>8000</v>
      </c>
      <c r="F123" s="237"/>
      <c r="G123" s="237">
        <f>D123+E123-F123</f>
        <v>8000</v>
      </c>
      <c r="H123" s="237">
        <v>8000</v>
      </c>
      <c r="I123" s="645">
        <f t="shared" si="94"/>
        <v>0</v>
      </c>
      <c r="J123" s="235"/>
      <c r="K123" s="235"/>
      <c r="L123" s="236" t="s">
        <v>548</v>
      </c>
      <c r="M123" s="237"/>
      <c r="N123" s="237">
        <f>117000+10000</f>
        <v>127000</v>
      </c>
      <c r="O123" s="238"/>
      <c r="P123" s="237">
        <f>M123+N123-O123</f>
        <v>127000</v>
      </c>
      <c r="Q123" s="237">
        <v>10000</v>
      </c>
      <c r="R123" s="632">
        <f t="shared" si="102"/>
        <v>117000</v>
      </c>
    </row>
    <row r="124" spans="1:18" s="214" customFormat="1" ht="18.95" customHeight="1">
      <c r="A124" s="232"/>
      <c r="B124" s="235"/>
      <c r="C124" s="236" t="s">
        <v>674</v>
      </c>
      <c r="D124" s="237"/>
      <c r="E124" s="237"/>
      <c r="F124" s="237"/>
      <c r="G124" s="237"/>
      <c r="H124" s="237"/>
      <c r="I124" s="645">
        <f t="shared" si="94"/>
        <v>0</v>
      </c>
      <c r="J124" s="235"/>
      <c r="K124" s="235"/>
      <c r="L124" s="236" t="s">
        <v>549</v>
      </c>
      <c r="M124" s="237"/>
      <c r="N124" s="237"/>
      <c r="O124" s="238"/>
      <c r="P124" s="237"/>
      <c r="Q124" s="237"/>
      <c r="R124" s="632">
        <f t="shared" si="102"/>
        <v>0</v>
      </c>
    </row>
    <row r="125" spans="1:18" s="214" customFormat="1" ht="18.95" customHeight="1">
      <c r="A125" s="232"/>
      <c r="B125" s="235"/>
      <c r="C125" s="268" t="s">
        <v>550</v>
      </c>
      <c r="D125" s="243"/>
      <c r="E125" s="243"/>
      <c r="F125" s="243"/>
      <c r="G125" s="243"/>
      <c r="H125" s="243"/>
      <c r="I125" s="646">
        <f t="shared" si="94"/>
        <v>0</v>
      </c>
      <c r="J125" s="235"/>
      <c r="K125" s="235"/>
      <c r="L125" s="268" t="s">
        <v>551</v>
      </c>
      <c r="M125" s="243"/>
      <c r="N125" s="243">
        <v>38510</v>
      </c>
      <c r="O125" s="244"/>
      <c r="P125" s="243"/>
      <c r="Q125" s="243"/>
      <c r="R125" s="633">
        <f t="shared" si="102"/>
        <v>0</v>
      </c>
    </row>
    <row r="126" spans="1:18" s="214" customFormat="1" ht="18.95" customHeight="1">
      <c r="A126" s="232"/>
      <c r="B126" s="233" t="s">
        <v>552</v>
      </c>
      <c r="C126" s="233"/>
      <c r="D126" s="234">
        <f>SUM(D127:D130)</f>
        <v>0</v>
      </c>
      <c r="E126" s="234">
        <f aca="true" t="shared" si="103" ref="E126:F126">SUM(E127:E130)</f>
        <v>0</v>
      </c>
      <c r="F126" s="234">
        <f t="shared" si="103"/>
        <v>0</v>
      </c>
      <c r="G126" s="234">
        <f>D126+E126-F126</f>
        <v>0</v>
      </c>
      <c r="H126" s="234">
        <f>SUM(H127:H130)</f>
        <v>0</v>
      </c>
      <c r="I126" s="640">
        <f t="shared" si="94"/>
        <v>0</v>
      </c>
      <c r="J126" s="235"/>
      <c r="K126" s="233" t="s">
        <v>553</v>
      </c>
      <c r="L126" s="233"/>
      <c r="M126" s="234">
        <f>SUM(M127:M130)</f>
        <v>0</v>
      </c>
      <c r="N126" s="234">
        <f aca="true" t="shared" si="104" ref="N126:O126">SUM(N127:N130)</f>
        <v>0</v>
      </c>
      <c r="O126" s="234">
        <f t="shared" si="104"/>
        <v>0</v>
      </c>
      <c r="P126" s="234">
        <f>M126+N126-O126</f>
        <v>0</v>
      </c>
      <c r="Q126" s="234">
        <f>SUM(Q127:Q130)</f>
        <v>0</v>
      </c>
      <c r="R126" s="631">
        <f t="shared" si="102"/>
        <v>0</v>
      </c>
    </row>
    <row r="127" spans="1:18" s="214" customFormat="1" ht="18.95" customHeight="1">
      <c r="A127" s="232"/>
      <c r="B127" s="235"/>
      <c r="C127" s="269" t="s">
        <v>554</v>
      </c>
      <c r="D127" s="237"/>
      <c r="E127" s="237"/>
      <c r="F127" s="237"/>
      <c r="G127" s="237"/>
      <c r="H127" s="237"/>
      <c r="I127" s="645">
        <f t="shared" si="94"/>
        <v>0</v>
      </c>
      <c r="J127" s="235"/>
      <c r="K127" s="235"/>
      <c r="L127" s="269" t="s">
        <v>555</v>
      </c>
      <c r="M127" s="237"/>
      <c r="N127" s="237"/>
      <c r="O127" s="238"/>
      <c r="P127" s="237"/>
      <c r="Q127" s="237"/>
      <c r="R127" s="632">
        <f t="shared" si="102"/>
        <v>0</v>
      </c>
    </row>
    <row r="128" spans="1:18" s="214" customFormat="1" ht="18.95" customHeight="1">
      <c r="A128" s="232"/>
      <c r="B128" s="235"/>
      <c r="C128" s="269" t="s">
        <v>556</v>
      </c>
      <c r="D128" s="237"/>
      <c r="E128" s="237"/>
      <c r="F128" s="237"/>
      <c r="G128" s="237"/>
      <c r="H128" s="237"/>
      <c r="I128" s="645">
        <f t="shared" si="94"/>
        <v>0</v>
      </c>
      <c r="J128" s="235"/>
      <c r="K128" s="235"/>
      <c r="L128" s="269" t="s">
        <v>557</v>
      </c>
      <c r="M128" s="237"/>
      <c r="N128" s="237"/>
      <c r="O128" s="238"/>
      <c r="P128" s="237"/>
      <c r="Q128" s="237"/>
      <c r="R128" s="632">
        <f t="shared" si="102"/>
        <v>0</v>
      </c>
    </row>
    <row r="129" spans="1:18" s="214" customFormat="1" ht="18.95" customHeight="1">
      <c r="A129" s="232"/>
      <c r="B129" s="235"/>
      <c r="C129" s="269" t="s">
        <v>558</v>
      </c>
      <c r="D129" s="237"/>
      <c r="E129" s="237"/>
      <c r="F129" s="237"/>
      <c r="G129" s="237"/>
      <c r="H129" s="237"/>
      <c r="I129" s="645">
        <f t="shared" si="94"/>
        <v>0</v>
      </c>
      <c r="J129" s="235"/>
      <c r="K129" s="235"/>
      <c r="L129" s="269" t="s">
        <v>559</v>
      </c>
      <c r="M129" s="237"/>
      <c r="N129" s="237"/>
      <c r="O129" s="238"/>
      <c r="P129" s="237"/>
      <c r="Q129" s="237"/>
      <c r="R129" s="632">
        <f t="shared" si="102"/>
        <v>0</v>
      </c>
    </row>
    <row r="130" spans="1:18" s="214" customFormat="1" ht="18.95" customHeight="1">
      <c r="A130" s="232"/>
      <c r="B130" s="235"/>
      <c r="C130" s="270" t="s">
        <v>560</v>
      </c>
      <c r="D130" s="243"/>
      <c r="E130" s="243"/>
      <c r="F130" s="243"/>
      <c r="G130" s="243"/>
      <c r="H130" s="243"/>
      <c r="I130" s="646">
        <f t="shared" si="94"/>
        <v>0</v>
      </c>
      <c r="J130" s="235"/>
      <c r="K130" s="235"/>
      <c r="L130" s="270" t="s">
        <v>561</v>
      </c>
      <c r="M130" s="243"/>
      <c r="N130" s="243"/>
      <c r="O130" s="244"/>
      <c r="P130" s="243"/>
      <c r="Q130" s="243"/>
      <c r="R130" s="633">
        <f t="shared" si="102"/>
        <v>0</v>
      </c>
    </row>
    <row r="131" spans="1:18" s="214" customFormat="1" ht="18.95" customHeight="1">
      <c r="A131" s="232"/>
      <c r="B131" s="233" t="s">
        <v>562</v>
      </c>
      <c r="C131" s="233"/>
      <c r="D131" s="234">
        <f>SUM(D132:D136)</f>
        <v>0</v>
      </c>
      <c r="E131" s="234">
        <f aca="true" t="shared" si="105" ref="E131:F131">SUM(E132:E136)</f>
        <v>31085664</v>
      </c>
      <c r="F131" s="234">
        <f t="shared" si="105"/>
        <v>0</v>
      </c>
      <c r="G131" s="234">
        <f>D131+E131-F131</f>
        <v>31085664</v>
      </c>
      <c r="H131" s="234">
        <f>SUM(H132:H136)</f>
        <v>22560831</v>
      </c>
      <c r="I131" s="640">
        <f t="shared" si="94"/>
        <v>8524833</v>
      </c>
      <c r="J131" s="235"/>
      <c r="K131" s="233" t="s">
        <v>675</v>
      </c>
      <c r="L131" s="233"/>
      <c r="M131" s="234">
        <f>SUM(M132:M136)</f>
        <v>0</v>
      </c>
      <c r="N131" s="234">
        <f aca="true" t="shared" si="106" ref="N131:O131">SUM(N132:N136)</f>
        <v>13058911</v>
      </c>
      <c r="O131" s="234">
        <f t="shared" si="106"/>
        <v>0</v>
      </c>
      <c r="P131" s="234">
        <f>M131+N131-O131</f>
        <v>13058911</v>
      </c>
      <c r="Q131" s="234">
        <f>SUM(Q132:Q136)</f>
        <v>13118912</v>
      </c>
      <c r="R131" s="631">
        <f t="shared" si="102"/>
        <v>-60001</v>
      </c>
    </row>
    <row r="132" spans="1:18" s="214" customFormat="1" ht="18.95" customHeight="1">
      <c r="A132" s="232"/>
      <c r="B132" s="235"/>
      <c r="C132" s="236" t="s">
        <v>563</v>
      </c>
      <c r="D132" s="237"/>
      <c r="E132" s="237">
        <v>4801619</v>
      </c>
      <c r="F132" s="237"/>
      <c r="G132" s="237">
        <f>D132+E132-F132</f>
        <v>4801619</v>
      </c>
      <c r="H132" s="237">
        <v>2012119</v>
      </c>
      <c r="I132" s="645">
        <f t="shared" si="94"/>
        <v>2789500</v>
      </c>
      <c r="J132" s="235"/>
      <c r="K132" s="235"/>
      <c r="L132" s="236" t="s">
        <v>564</v>
      </c>
      <c r="M132" s="237"/>
      <c r="N132" s="237">
        <v>70000</v>
      </c>
      <c r="O132" s="238"/>
      <c r="P132" s="237">
        <f>M132+N132-O132</f>
        <v>70000</v>
      </c>
      <c r="Q132" s="237">
        <v>70000</v>
      </c>
      <c r="R132" s="632">
        <f t="shared" si="102"/>
        <v>0</v>
      </c>
    </row>
    <row r="133" spans="1:18" s="214" customFormat="1" ht="18.95" customHeight="1">
      <c r="A133" s="232"/>
      <c r="B133" s="235"/>
      <c r="C133" s="236" t="s">
        <v>565</v>
      </c>
      <c r="D133" s="237"/>
      <c r="E133" s="237">
        <v>13200067</v>
      </c>
      <c r="F133" s="237"/>
      <c r="G133" s="237">
        <f aca="true" t="shared" si="107" ref="G133:G136">D133+E133-F133</f>
        <v>13200067</v>
      </c>
      <c r="H133" s="237">
        <v>14184000</v>
      </c>
      <c r="I133" s="645">
        <f t="shared" si="94"/>
        <v>-983933</v>
      </c>
      <c r="J133" s="235"/>
      <c r="K133" s="235"/>
      <c r="L133" s="236" t="s">
        <v>566</v>
      </c>
      <c r="M133" s="237"/>
      <c r="N133" s="237">
        <f>4950000+17754</f>
        <v>4967754</v>
      </c>
      <c r="O133" s="238"/>
      <c r="P133" s="237">
        <f aca="true" t="shared" si="108" ref="P133:P136">M133+N133-O133</f>
        <v>4967754</v>
      </c>
      <c r="Q133" s="237">
        <v>4967754</v>
      </c>
      <c r="R133" s="632">
        <f t="shared" si="102"/>
        <v>0</v>
      </c>
    </row>
    <row r="134" spans="1:18" s="214" customFormat="1" ht="18.95" customHeight="1">
      <c r="A134" s="232"/>
      <c r="B134" s="235"/>
      <c r="C134" s="236" t="s">
        <v>567</v>
      </c>
      <c r="D134" s="237"/>
      <c r="E134" s="237">
        <v>5693184</v>
      </c>
      <c r="F134" s="237"/>
      <c r="G134" s="237">
        <f t="shared" si="107"/>
        <v>5693184</v>
      </c>
      <c r="H134" s="237">
        <v>2856315</v>
      </c>
      <c r="I134" s="645">
        <f t="shared" si="94"/>
        <v>2836869</v>
      </c>
      <c r="J134" s="235"/>
      <c r="K134" s="235"/>
      <c r="L134" s="236" t="s">
        <v>568</v>
      </c>
      <c r="M134" s="237"/>
      <c r="N134" s="237">
        <v>2260000</v>
      </c>
      <c r="O134" s="238"/>
      <c r="P134" s="237">
        <f t="shared" si="108"/>
        <v>2260000</v>
      </c>
      <c r="Q134" s="237">
        <v>2260000</v>
      </c>
      <c r="R134" s="632">
        <f t="shared" si="102"/>
        <v>0</v>
      </c>
    </row>
    <row r="135" spans="1:18" s="214" customFormat="1" ht="18.95" customHeight="1">
      <c r="A135" s="232"/>
      <c r="B135" s="235"/>
      <c r="C135" s="236" t="s">
        <v>569</v>
      </c>
      <c r="D135" s="237"/>
      <c r="E135" s="237"/>
      <c r="F135" s="237"/>
      <c r="G135" s="237">
        <f t="shared" si="107"/>
        <v>0</v>
      </c>
      <c r="H135" s="237"/>
      <c r="I135" s="645">
        <f t="shared" si="94"/>
        <v>0</v>
      </c>
      <c r="J135" s="235"/>
      <c r="K135" s="235"/>
      <c r="L135" s="236" t="s">
        <v>570</v>
      </c>
      <c r="M135" s="237"/>
      <c r="N135" s="237"/>
      <c r="O135" s="238"/>
      <c r="P135" s="237">
        <f t="shared" si="108"/>
        <v>0</v>
      </c>
      <c r="Q135" s="237">
        <v>0</v>
      </c>
      <c r="R135" s="632">
        <f t="shared" si="102"/>
        <v>0</v>
      </c>
    </row>
    <row r="136" spans="1:18" s="214" customFormat="1" ht="18.95" customHeight="1">
      <c r="A136" s="232"/>
      <c r="B136" s="235"/>
      <c r="C136" s="268" t="s">
        <v>571</v>
      </c>
      <c r="D136" s="243"/>
      <c r="E136" s="243">
        <f>5798594+1592200</f>
        <v>7390794</v>
      </c>
      <c r="F136" s="243"/>
      <c r="G136" s="237">
        <f t="shared" si="107"/>
        <v>7390794</v>
      </c>
      <c r="H136" s="243">
        <v>3508397</v>
      </c>
      <c r="I136" s="646">
        <f t="shared" si="94"/>
        <v>3882397</v>
      </c>
      <c r="J136" s="235"/>
      <c r="K136" s="235"/>
      <c r="L136" s="268" t="s">
        <v>572</v>
      </c>
      <c r="M136" s="243"/>
      <c r="N136" s="243">
        <f>5680619+40000+40538</f>
        <v>5761157</v>
      </c>
      <c r="O136" s="244"/>
      <c r="P136" s="237">
        <f t="shared" si="108"/>
        <v>5761157</v>
      </c>
      <c r="Q136" s="243">
        <v>5821158</v>
      </c>
      <c r="R136" s="633">
        <f t="shared" si="102"/>
        <v>-60001</v>
      </c>
    </row>
    <row r="137" spans="1:18" s="214" customFormat="1" ht="18.95" customHeight="1">
      <c r="A137" s="245" t="s">
        <v>573</v>
      </c>
      <c r="B137" s="246"/>
      <c r="C137" s="246"/>
      <c r="D137" s="247">
        <f>D138+D147</f>
        <v>0</v>
      </c>
      <c r="E137" s="247">
        <f aca="true" t="shared" si="109" ref="E137:F137">E138+E147</f>
        <v>499757</v>
      </c>
      <c r="F137" s="247">
        <f t="shared" si="109"/>
        <v>0</v>
      </c>
      <c r="G137" s="247">
        <f>D137+E137-F137</f>
        <v>499757</v>
      </c>
      <c r="H137" s="247">
        <f>H138+H147</f>
        <v>0</v>
      </c>
      <c r="I137" s="644">
        <f t="shared" si="94"/>
        <v>499757</v>
      </c>
      <c r="J137" s="248" t="s">
        <v>574</v>
      </c>
      <c r="K137" s="246"/>
      <c r="L137" s="246"/>
      <c r="M137" s="247">
        <f>M138+M148</f>
        <v>5189348</v>
      </c>
      <c r="N137" s="247">
        <f aca="true" t="shared" si="110" ref="N137:O137">N138+N148</f>
        <v>23035457</v>
      </c>
      <c r="O137" s="247">
        <f t="shared" si="110"/>
        <v>0</v>
      </c>
      <c r="P137" s="247">
        <f>M137+N137-O137</f>
        <v>28224805</v>
      </c>
      <c r="Q137" s="247">
        <f>Q138+Q148</f>
        <v>24765297</v>
      </c>
      <c r="R137" s="634">
        <f t="shared" si="102"/>
        <v>3459508</v>
      </c>
    </row>
    <row r="138" spans="1:18" s="214" customFormat="1" ht="18.95" customHeight="1">
      <c r="A138" s="232"/>
      <c r="B138" s="233" t="s">
        <v>575</v>
      </c>
      <c r="C138" s="233"/>
      <c r="D138" s="234">
        <f>SUM(D139:D146)</f>
        <v>0</v>
      </c>
      <c r="E138" s="234">
        <f aca="true" t="shared" si="111" ref="E138:F138">SUM(E139:E146)</f>
        <v>499757</v>
      </c>
      <c r="F138" s="234">
        <f t="shared" si="111"/>
        <v>0</v>
      </c>
      <c r="G138" s="234">
        <f>D138+E138-F138</f>
        <v>499757</v>
      </c>
      <c r="H138" s="234">
        <f>SUM(H139:H146)</f>
        <v>0</v>
      </c>
      <c r="I138" s="640">
        <f t="shared" si="94"/>
        <v>499757</v>
      </c>
      <c r="J138" s="235"/>
      <c r="K138" s="233" t="s">
        <v>576</v>
      </c>
      <c r="L138" s="233"/>
      <c r="M138" s="234">
        <f>SUM(M139:M147)</f>
        <v>5189348</v>
      </c>
      <c r="N138" s="234">
        <f aca="true" t="shared" si="112" ref="N138:O138">SUM(N139:N147)</f>
        <v>23035457</v>
      </c>
      <c r="O138" s="234">
        <f t="shared" si="112"/>
        <v>0</v>
      </c>
      <c r="P138" s="234">
        <f>M138+N138-O138</f>
        <v>28224805</v>
      </c>
      <c r="Q138" s="234">
        <f>SUM(Q139:Q147)</f>
        <v>24765297</v>
      </c>
      <c r="R138" s="631">
        <f t="shared" si="102"/>
        <v>3459508</v>
      </c>
    </row>
    <row r="139" spans="1:18" s="214" customFormat="1" ht="18.95" customHeight="1">
      <c r="A139" s="232"/>
      <c r="B139" s="235"/>
      <c r="C139" s="236" t="s">
        <v>577</v>
      </c>
      <c r="D139" s="237"/>
      <c r="E139" s="237"/>
      <c r="F139" s="237"/>
      <c r="G139" s="237"/>
      <c r="H139" s="237"/>
      <c r="I139" s="645">
        <f t="shared" si="94"/>
        <v>0</v>
      </c>
      <c r="J139" s="235"/>
      <c r="K139" s="235"/>
      <c r="L139" s="236" t="s">
        <v>578</v>
      </c>
      <c r="M139" s="237"/>
      <c r="N139" s="237">
        <v>569296</v>
      </c>
      <c r="O139" s="238"/>
      <c r="P139" s="237">
        <f>M139+N139-O139</f>
        <v>569296</v>
      </c>
      <c r="Q139" s="237">
        <v>570000</v>
      </c>
      <c r="R139" s="632">
        <f t="shared" si="102"/>
        <v>-704</v>
      </c>
    </row>
    <row r="140" spans="1:18" s="214" customFormat="1" ht="18.95" customHeight="1">
      <c r="A140" s="232"/>
      <c r="B140" s="235"/>
      <c r="C140" s="236" t="s">
        <v>579</v>
      </c>
      <c r="D140" s="237"/>
      <c r="E140" s="237"/>
      <c r="F140" s="237"/>
      <c r="G140" s="237"/>
      <c r="H140" s="237"/>
      <c r="I140" s="645">
        <f t="shared" si="94"/>
        <v>0</v>
      </c>
      <c r="J140" s="235"/>
      <c r="K140" s="235"/>
      <c r="L140" s="236" t="s">
        <v>580</v>
      </c>
      <c r="M140" s="237"/>
      <c r="N140" s="237"/>
      <c r="O140" s="238"/>
      <c r="P140" s="237">
        <f aca="true" t="shared" si="113" ref="P140:P147">M140+N140-O140</f>
        <v>0</v>
      </c>
      <c r="Q140" s="237"/>
      <c r="R140" s="632">
        <f t="shared" si="102"/>
        <v>0</v>
      </c>
    </row>
    <row r="141" spans="1:18" s="214" customFormat="1" ht="18.95" customHeight="1">
      <c r="A141" s="232"/>
      <c r="B141" s="235"/>
      <c r="C141" s="236" t="s">
        <v>581</v>
      </c>
      <c r="D141" s="237"/>
      <c r="E141" s="237"/>
      <c r="F141" s="237"/>
      <c r="G141" s="237"/>
      <c r="H141" s="237"/>
      <c r="I141" s="645">
        <f t="shared" si="94"/>
        <v>0</v>
      </c>
      <c r="J141" s="235"/>
      <c r="K141" s="235"/>
      <c r="L141" s="236" t="s">
        <v>582</v>
      </c>
      <c r="M141" s="237"/>
      <c r="N141" s="237"/>
      <c r="O141" s="237"/>
      <c r="P141" s="237">
        <f t="shared" si="113"/>
        <v>0</v>
      </c>
      <c r="Q141" s="237"/>
      <c r="R141" s="632">
        <f t="shared" si="102"/>
        <v>0</v>
      </c>
    </row>
    <row r="142" spans="1:18" s="214" customFormat="1" ht="18.95" customHeight="1">
      <c r="A142" s="232"/>
      <c r="B142" s="235"/>
      <c r="C142" s="236" t="s">
        <v>583</v>
      </c>
      <c r="D142" s="237"/>
      <c r="E142" s="237"/>
      <c r="F142" s="237"/>
      <c r="G142" s="237"/>
      <c r="H142" s="237"/>
      <c r="I142" s="645">
        <f t="shared" si="94"/>
        <v>0</v>
      </c>
      <c r="J142" s="235"/>
      <c r="K142" s="235"/>
      <c r="L142" s="236" t="s">
        <v>584</v>
      </c>
      <c r="M142" s="237">
        <v>1671642</v>
      </c>
      <c r="N142" s="237">
        <f>547741+154000+8000+40000</f>
        <v>749741</v>
      </c>
      <c r="O142" s="238"/>
      <c r="P142" s="237">
        <f t="shared" si="113"/>
        <v>2421383</v>
      </c>
      <c r="Q142" s="237">
        <v>2230633</v>
      </c>
      <c r="R142" s="632">
        <f t="shared" si="102"/>
        <v>190750</v>
      </c>
    </row>
    <row r="143" spans="1:18" s="214" customFormat="1" ht="18.95" customHeight="1">
      <c r="A143" s="232"/>
      <c r="B143" s="235"/>
      <c r="C143" s="236" t="s">
        <v>585</v>
      </c>
      <c r="D143" s="237"/>
      <c r="E143" s="237"/>
      <c r="F143" s="237"/>
      <c r="G143" s="237"/>
      <c r="H143" s="237"/>
      <c r="I143" s="645">
        <f t="shared" si="94"/>
        <v>0</v>
      </c>
      <c r="J143" s="235"/>
      <c r="K143" s="235"/>
      <c r="L143" s="236" t="s">
        <v>586</v>
      </c>
      <c r="M143" s="237">
        <v>1256064</v>
      </c>
      <c r="N143" s="237">
        <f>676581+108000+8000+30000</f>
        <v>822581</v>
      </c>
      <c r="O143" s="238"/>
      <c r="P143" s="237">
        <f t="shared" si="113"/>
        <v>2078645</v>
      </c>
      <c r="Q143" s="237">
        <v>1479022</v>
      </c>
      <c r="R143" s="632">
        <f t="shared" si="102"/>
        <v>599623</v>
      </c>
    </row>
    <row r="144" spans="1:18" s="214" customFormat="1" ht="18.95" customHeight="1">
      <c r="A144" s="232"/>
      <c r="B144" s="235"/>
      <c r="C144" s="236" t="s">
        <v>587</v>
      </c>
      <c r="D144" s="237"/>
      <c r="E144" s="237">
        <v>461750</v>
      </c>
      <c r="F144" s="237"/>
      <c r="G144" s="237"/>
      <c r="H144" s="237"/>
      <c r="I144" s="645">
        <f t="shared" si="94"/>
        <v>0</v>
      </c>
      <c r="J144" s="235"/>
      <c r="K144" s="235"/>
      <c r="L144" s="236" t="s">
        <v>588</v>
      </c>
      <c r="M144" s="237"/>
      <c r="N144" s="237"/>
      <c r="O144" s="238"/>
      <c r="P144" s="237">
        <f t="shared" si="113"/>
        <v>0</v>
      </c>
      <c r="Q144" s="237">
        <v>900000</v>
      </c>
      <c r="R144" s="632">
        <f t="shared" si="102"/>
        <v>-900000</v>
      </c>
    </row>
    <row r="145" spans="1:18" s="214" customFormat="1" ht="18.95" customHeight="1">
      <c r="A145" s="232"/>
      <c r="B145" s="235"/>
      <c r="C145" s="236" t="s">
        <v>589</v>
      </c>
      <c r="D145" s="237"/>
      <c r="E145" s="237">
        <v>38007</v>
      </c>
      <c r="F145" s="237"/>
      <c r="G145" s="237"/>
      <c r="H145" s="237"/>
      <c r="I145" s="645">
        <f t="shared" si="94"/>
        <v>0</v>
      </c>
      <c r="J145" s="235"/>
      <c r="K145" s="235"/>
      <c r="L145" s="236" t="s">
        <v>590</v>
      </c>
      <c r="M145" s="237">
        <v>2261642</v>
      </c>
      <c r="N145" s="237">
        <v>247000</v>
      </c>
      <c r="O145" s="238"/>
      <c r="P145" s="237">
        <f t="shared" si="113"/>
        <v>2508642</v>
      </c>
      <c r="Q145" s="237">
        <v>2371642</v>
      </c>
      <c r="R145" s="632">
        <f t="shared" si="102"/>
        <v>137000</v>
      </c>
    </row>
    <row r="146" spans="1:18" s="214" customFormat="1" ht="18.95" customHeight="1">
      <c r="A146" s="232"/>
      <c r="B146" s="235"/>
      <c r="C146" s="268" t="s">
        <v>591</v>
      </c>
      <c r="D146" s="243"/>
      <c r="E146" s="243"/>
      <c r="F146" s="243"/>
      <c r="G146" s="243"/>
      <c r="H146" s="243"/>
      <c r="I146" s="646">
        <f t="shared" si="94"/>
        <v>0</v>
      </c>
      <c r="J146" s="235"/>
      <c r="K146" s="235"/>
      <c r="L146" s="236" t="s">
        <v>592</v>
      </c>
      <c r="M146" s="237"/>
      <c r="N146" s="237"/>
      <c r="O146" s="238"/>
      <c r="P146" s="237">
        <f t="shared" si="113"/>
        <v>0</v>
      </c>
      <c r="Q146" s="237"/>
      <c r="R146" s="632">
        <f t="shared" si="102"/>
        <v>0</v>
      </c>
    </row>
    <row r="147" spans="1:18" s="214" customFormat="1" ht="18.95" customHeight="1">
      <c r="A147" s="232"/>
      <c r="B147" s="233" t="s">
        <v>593</v>
      </c>
      <c r="C147" s="233"/>
      <c r="D147" s="234">
        <f>SUM(D148)</f>
        <v>0</v>
      </c>
      <c r="E147" s="234">
        <f aca="true" t="shared" si="114" ref="E147:F147">SUM(E148)</f>
        <v>0</v>
      </c>
      <c r="F147" s="234">
        <f t="shared" si="114"/>
        <v>0</v>
      </c>
      <c r="G147" s="234">
        <f>D147+E147-F147</f>
        <v>0</v>
      </c>
      <c r="H147" s="234">
        <f>SUM(H148)</f>
        <v>0</v>
      </c>
      <c r="I147" s="640">
        <f t="shared" si="94"/>
        <v>0</v>
      </c>
      <c r="J147" s="235"/>
      <c r="K147" s="235"/>
      <c r="L147" s="268" t="s">
        <v>594</v>
      </c>
      <c r="M147" s="243"/>
      <c r="N147" s="243">
        <v>20646839</v>
      </c>
      <c r="O147" s="244"/>
      <c r="P147" s="237">
        <f t="shared" si="113"/>
        <v>20646839</v>
      </c>
      <c r="Q147" s="243">
        <v>17214000</v>
      </c>
      <c r="R147" s="633">
        <f t="shared" si="102"/>
        <v>3432839</v>
      </c>
    </row>
    <row r="148" spans="1:18" s="214" customFormat="1" ht="18.95" customHeight="1">
      <c r="A148" s="232"/>
      <c r="B148" s="235"/>
      <c r="C148" s="236" t="s">
        <v>676</v>
      </c>
      <c r="D148" s="237"/>
      <c r="E148" s="237"/>
      <c r="F148" s="237"/>
      <c r="G148" s="237"/>
      <c r="H148" s="237"/>
      <c r="I148" s="645">
        <f t="shared" si="94"/>
        <v>0</v>
      </c>
      <c r="J148" s="235"/>
      <c r="K148" s="233" t="s">
        <v>595</v>
      </c>
      <c r="L148" s="233"/>
      <c r="M148" s="234">
        <f>M149</f>
        <v>0</v>
      </c>
      <c r="N148" s="234">
        <f aca="true" t="shared" si="115" ref="N148:O148">N149</f>
        <v>0</v>
      </c>
      <c r="O148" s="234">
        <f t="shared" si="115"/>
        <v>0</v>
      </c>
      <c r="P148" s="234">
        <f>M148+N148-O148</f>
        <v>0</v>
      </c>
      <c r="Q148" s="234">
        <f>Q149</f>
        <v>0</v>
      </c>
      <c r="R148" s="631">
        <f t="shared" si="102"/>
        <v>0</v>
      </c>
    </row>
    <row r="149" spans="1:18" s="214" customFormat="1" ht="18.95" customHeight="1">
      <c r="A149" s="232"/>
      <c r="B149" s="235"/>
      <c r="C149" s="235"/>
      <c r="D149" s="249"/>
      <c r="E149" s="249"/>
      <c r="F149" s="249"/>
      <c r="G149" s="249"/>
      <c r="H149" s="249"/>
      <c r="I149" s="643"/>
      <c r="J149" s="235"/>
      <c r="K149" s="235"/>
      <c r="L149" s="268" t="s">
        <v>677</v>
      </c>
      <c r="M149" s="242"/>
      <c r="N149" s="242"/>
      <c r="O149" s="242"/>
      <c r="P149" s="242"/>
      <c r="Q149" s="242"/>
      <c r="R149" s="633">
        <f t="shared" si="102"/>
        <v>0</v>
      </c>
    </row>
    <row r="150" spans="1:18" s="214" customFormat="1" ht="18.95" customHeight="1">
      <c r="A150" s="245" t="s">
        <v>596</v>
      </c>
      <c r="B150" s="246"/>
      <c r="C150" s="246"/>
      <c r="D150" s="247">
        <f>D151</f>
        <v>0</v>
      </c>
      <c r="E150" s="247">
        <f aca="true" t="shared" si="116" ref="E150:F150">E151</f>
        <v>0</v>
      </c>
      <c r="F150" s="247">
        <f t="shared" si="116"/>
        <v>0</v>
      </c>
      <c r="G150" s="247">
        <f>D150+E150-F150</f>
        <v>0</v>
      </c>
      <c r="H150" s="247">
        <f>H151</f>
        <v>0</v>
      </c>
      <c r="I150" s="644">
        <f aca="true" t="shared" si="117" ref="I150:I160">G150-H150</f>
        <v>0</v>
      </c>
      <c r="J150" s="248" t="s">
        <v>597</v>
      </c>
      <c r="K150" s="246"/>
      <c r="L150" s="246"/>
      <c r="M150" s="247">
        <f>M151</f>
        <v>0</v>
      </c>
      <c r="N150" s="247">
        <f aca="true" t="shared" si="118" ref="N150:O151">N151</f>
        <v>0</v>
      </c>
      <c r="O150" s="247">
        <f t="shared" si="118"/>
        <v>0</v>
      </c>
      <c r="P150" s="247">
        <f>M150+N150-O150</f>
        <v>0</v>
      </c>
      <c r="Q150" s="247">
        <f>Q151</f>
        <v>0</v>
      </c>
      <c r="R150" s="634">
        <f t="shared" si="102"/>
        <v>0</v>
      </c>
    </row>
    <row r="151" spans="1:18" s="261" customFormat="1" ht="18.95" customHeight="1">
      <c r="A151" s="260"/>
      <c r="B151" s="233" t="s">
        <v>678</v>
      </c>
      <c r="C151" s="233"/>
      <c r="D151" s="234">
        <f>D152</f>
        <v>0</v>
      </c>
      <c r="E151" s="234">
        <f aca="true" t="shared" si="119" ref="E151:F151">E152</f>
        <v>0</v>
      </c>
      <c r="F151" s="234">
        <f t="shared" si="119"/>
        <v>0</v>
      </c>
      <c r="G151" s="234">
        <f>D151+E151-F151</f>
        <v>0</v>
      </c>
      <c r="H151" s="234">
        <f>H152</f>
        <v>0</v>
      </c>
      <c r="I151" s="640">
        <f t="shared" si="117"/>
        <v>0</v>
      </c>
      <c r="J151" s="252"/>
      <c r="K151" s="233" t="s">
        <v>679</v>
      </c>
      <c r="L151" s="233"/>
      <c r="M151" s="234">
        <f>M152</f>
        <v>0</v>
      </c>
      <c r="N151" s="234">
        <f t="shared" si="118"/>
        <v>0</v>
      </c>
      <c r="O151" s="234">
        <f t="shared" si="118"/>
        <v>0</v>
      </c>
      <c r="P151" s="234">
        <f>M151+N151-O151</f>
        <v>0</v>
      </c>
      <c r="Q151" s="234">
        <f>Q152</f>
        <v>0</v>
      </c>
      <c r="R151" s="631">
        <f t="shared" si="102"/>
        <v>0</v>
      </c>
    </row>
    <row r="152" spans="1:18" s="261" customFormat="1" ht="18.95" customHeight="1">
      <c r="A152" s="260"/>
      <c r="B152" s="252"/>
      <c r="C152" s="268" t="s">
        <v>680</v>
      </c>
      <c r="D152" s="253"/>
      <c r="E152" s="253"/>
      <c r="F152" s="254"/>
      <c r="G152" s="253"/>
      <c r="H152" s="253"/>
      <c r="I152" s="648">
        <f t="shared" si="117"/>
        <v>0</v>
      </c>
      <c r="J152" s="252"/>
      <c r="K152" s="252"/>
      <c r="L152" s="268" t="s">
        <v>681</v>
      </c>
      <c r="M152" s="253"/>
      <c r="N152" s="253"/>
      <c r="O152" s="254"/>
      <c r="P152" s="253"/>
      <c r="Q152" s="253"/>
      <c r="R152" s="636">
        <f t="shared" si="102"/>
        <v>0</v>
      </c>
    </row>
    <row r="153" spans="1:18" s="214" customFormat="1" ht="18.95" customHeight="1">
      <c r="A153" s="245" t="s">
        <v>598</v>
      </c>
      <c r="B153" s="246"/>
      <c r="C153" s="246"/>
      <c r="D153" s="247">
        <f>D154+D158</f>
        <v>0</v>
      </c>
      <c r="E153" s="247">
        <f aca="true" t="shared" si="120" ref="E153:F153">E154+E158</f>
        <v>78525</v>
      </c>
      <c r="F153" s="247">
        <f t="shared" si="120"/>
        <v>0</v>
      </c>
      <c r="G153" s="247">
        <f>D153+E153-F153</f>
        <v>78525</v>
      </c>
      <c r="H153" s="247">
        <f>H154+H158</f>
        <v>78525</v>
      </c>
      <c r="I153" s="644">
        <f t="shared" si="117"/>
        <v>0</v>
      </c>
      <c r="J153" s="248" t="s">
        <v>599</v>
      </c>
      <c r="K153" s="246"/>
      <c r="L153" s="246"/>
      <c r="M153" s="247">
        <f>M154+M158</f>
        <v>0</v>
      </c>
      <c r="N153" s="247">
        <f aca="true" t="shared" si="121" ref="N153:O153">N154+N158</f>
        <v>2969831</v>
      </c>
      <c r="O153" s="247">
        <f t="shared" si="121"/>
        <v>0</v>
      </c>
      <c r="P153" s="247">
        <f>M153+N153-O153</f>
        <v>2969831</v>
      </c>
      <c r="Q153" s="247">
        <f>Q154+Q158</f>
        <v>2813311</v>
      </c>
      <c r="R153" s="634">
        <f t="shared" si="102"/>
        <v>156520</v>
      </c>
    </row>
    <row r="154" spans="1:18" s="214" customFormat="1" ht="18.95" customHeight="1">
      <c r="A154" s="232"/>
      <c r="B154" s="233" t="s">
        <v>600</v>
      </c>
      <c r="C154" s="233"/>
      <c r="D154" s="234">
        <f>SUM(D155:D157)</f>
        <v>0</v>
      </c>
      <c r="E154" s="234">
        <f aca="true" t="shared" si="122" ref="E154:F154">SUM(E155:E157)</f>
        <v>0</v>
      </c>
      <c r="F154" s="234">
        <f t="shared" si="122"/>
        <v>0</v>
      </c>
      <c r="G154" s="234">
        <f>D154+E154-F154</f>
        <v>0</v>
      </c>
      <c r="H154" s="234">
        <f>SUM(H155:H157)</f>
        <v>0</v>
      </c>
      <c r="I154" s="640">
        <f t="shared" si="117"/>
        <v>0</v>
      </c>
      <c r="J154" s="235"/>
      <c r="K154" s="233" t="s">
        <v>601</v>
      </c>
      <c r="L154" s="233"/>
      <c r="M154" s="234">
        <f>SUM(M155:M157)</f>
        <v>0</v>
      </c>
      <c r="N154" s="234">
        <f aca="true" t="shared" si="123" ref="N154:O154">SUM(N155:N157)</f>
        <v>2780944</v>
      </c>
      <c r="O154" s="234">
        <f t="shared" si="123"/>
        <v>0</v>
      </c>
      <c r="P154" s="234">
        <f>M154+N154-O154</f>
        <v>2780944</v>
      </c>
      <c r="Q154" s="234">
        <f>SUM(Q155:Q157)</f>
        <v>2780944</v>
      </c>
      <c r="R154" s="631">
        <f t="shared" si="102"/>
        <v>0</v>
      </c>
    </row>
    <row r="155" spans="1:18" s="214" customFormat="1" ht="18.95" customHeight="1">
      <c r="A155" s="232"/>
      <c r="B155" s="235"/>
      <c r="C155" s="236" t="s">
        <v>602</v>
      </c>
      <c r="D155" s="237"/>
      <c r="E155" s="237"/>
      <c r="F155" s="237"/>
      <c r="G155" s="237"/>
      <c r="H155" s="237"/>
      <c r="I155" s="645">
        <f t="shared" si="117"/>
        <v>0</v>
      </c>
      <c r="J155" s="235"/>
      <c r="K155" s="235"/>
      <c r="L155" s="236" t="s">
        <v>603</v>
      </c>
      <c r="M155" s="237"/>
      <c r="N155" s="237">
        <v>2780944</v>
      </c>
      <c r="O155" s="238"/>
      <c r="P155" s="237">
        <f>M155+N155-O155</f>
        <v>2780944</v>
      </c>
      <c r="Q155" s="237">
        <v>2780944</v>
      </c>
      <c r="R155" s="632">
        <f t="shared" si="102"/>
        <v>0</v>
      </c>
    </row>
    <row r="156" spans="1:18" s="214" customFormat="1" ht="18.95" customHeight="1">
      <c r="A156" s="232"/>
      <c r="B156" s="235"/>
      <c r="C156" s="236" t="s">
        <v>604</v>
      </c>
      <c r="D156" s="237"/>
      <c r="E156" s="237"/>
      <c r="F156" s="237"/>
      <c r="G156" s="237"/>
      <c r="H156" s="237"/>
      <c r="I156" s="645">
        <f t="shared" si="117"/>
        <v>0</v>
      </c>
      <c r="J156" s="235"/>
      <c r="K156" s="235"/>
      <c r="L156" s="236" t="s">
        <v>605</v>
      </c>
      <c r="M156" s="237"/>
      <c r="N156" s="237"/>
      <c r="O156" s="238"/>
      <c r="P156" s="237"/>
      <c r="Q156" s="237"/>
      <c r="R156" s="632">
        <f t="shared" si="102"/>
        <v>0</v>
      </c>
    </row>
    <row r="157" spans="1:18" s="214" customFormat="1" ht="18.95" customHeight="1">
      <c r="A157" s="232"/>
      <c r="B157" s="235"/>
      <c r="C157" s="268" t="s">
        <v>606</v>
      </c>
      <c r="D157" s="243"/>
      <c r="E157" s="243"/>
      <c r="F157" s="243"/>
      <c r="G157" s="243"/>
      <c r="H157" s="243"/>
      <c r="I157" s="646">
        <f t="shared" si="117"/>
        <v>0</v>
      </c>
      <c r="J157" s="235"/>
      <c r="K157" s="235"/>
      <c r="L157" s="268" t="s">
        <v>607</v>
      </c>
      <c r="M157" s="243"/>
      <c r="N157" s="243"/>
      <c r="O157" s="244"/>
      <c r="P157" s="243"/>
      <c r="Q157" s="243"/>
      <c r="R157" s="633">
        <f t="shared" si="102"/>
        <v>0</v>
      </c>
    </row>
    <row r="158" spans="1:18" s="214" customFormat="1" ht="18.95" customHeight="1">
      <c r="A158" s="232"/>
      <c r="B158" s="233" t="s">
        <v>608</v>
      </c>
      <c r="C158" s="233"/>
      <c r="D158" s="234">
        <f>SUM(D159:D160)</f>
        <v>0</v>
      </c>
      <c r="E158" s="234">
        <f aca="true" t="shared" si="124" ref="E158:F158">SUM(E159:E160)</f>
        <v>78525</v>
      </c>
      <c r="F158" s="234">
        <f t="shared" si="124"/>
        <v>0</v>
      </c>
      <c r="G158" s="234">
        <f>D158+E158-F158</f>
        <v>78525</v>
      </c>
      <c r="H158" s="234">
        <f>SUM(H159:H160)</f>
        <v>78525</v>
      </c>
      <c r="I158" s="640">
        <f t="shared" si="117"/>
        <v>0</v>
      </c>
      <c r="J158" s="235"/>
      <c r="K158" s="233" t="s">
        <v>609</v>
      </c>
      <c r="L158" s="233"/>
      <c r="M158" s="234">
        <f>SUM(M159:M161)</f>
        <v>0</v>
      </c>
      <c r="N158" s="234">
        <f aca="true" t="shared" si="125" ref="N158:O158">SUM(N159:N161)</f>
        <v>188887</v>
      </c>
      <c r="O158" s="234">
        <f t="shared" si="125"/>
        <v>0</v>
      </c>
      <c r="P158" s="234">
        <f>M158+N158-O158</f>
        <v>188887</v>
      </c>
      <c r="Q158" s="234">
        <f>SUM(Q159:Q161)</f>
        <v>32367</v>
      </c>
      <c r="R158" s="631">
        <f t="shared" si="102"/>
        <v>156520</v>
      </c>
    </row>
    <row r="159" spans="1:18" s="214" customFormat="1" ht="18.95" customHeight="1">
      <c r="A159" s="232"/>
      <c r="B159" s="235"/>
      <c r="C159" s="236" t="s">
        <v>610</v>
      </c>
      <c r="D159" s="237"/>
      <c r="E159" s="237">
        <v>78525</v>
      </c>
      <c r="F159" s="238"/>
      <c r="G159" s="237">
        <f>D159+E159-F159</f>
        <v>78525</v>
      </c>
      <c r="H159" s="237">
        <v>78525</v>
      </c>
      <c r="I159" s="645">
        <f t="shared" si="117"/>
        <v>0</v>
      </c>
      <c r="J159" s="235"/>
      <c r="K159" s="235"/>
      <c r="L159" s="236" t="s">
        <v>611</v>
      </c>
      <c r="M159" s="237"/>
      <c r="N159" s="237"/>
      <c r="O159" s="238"/>
      <c r="P159" s="237"/>
      <c r="Q159" s="237"/>
      <c r="R159" s="632">
        <f t="shared" si="102"/>
        <v>0</v>
      </c>
    </row>
    <row r="160" spans="1:18" s="214" customFormat="1" ht="18.95" customHeight="1">
      <c r="A160" s="232"/>
      <c r="B160" s="235"/>
      <c r="C160" s="236" t="s">
        <v>612</v>
      </c>
      <c r="D160" s="237"/>
      <c r="E160" s="237"/>
      <c r="F160" s="238"/>
      <c r="G160" s="237"/>
      <c r="H160" s="237"/>
      <c r="I160" s="645">
        <f t="shared" si="117"/>
        <v>0</v>
      </c>
      <c r="J160" s="235"/>
      <c r="K160" s="235"/>
      <c r="L160" s="236" t="s">
        <v>613</v>
      </c>
      <c r="M160" s="237"/>
      <c r="N160" s="237">
        <v>188887</v>
      </c>
      <c r="O160" s="238"/>
      <c r="P160" s="237">
        <f>M160+N160-O160</f>
        <v>188887</v>
      </c>
      <c r="Q160" s="237">
        <v>32367</v>
      </c>
      <c r="R160" s="632">
        <f t="shared" si="102"/>
        <v>156520</v>
      </c>
    </row>
    <row r="161" spans="1:18" s="214" customFormat="1" ht="18.95" customHeight="1">
      <c r="A161" s="232"/>
      <c r="B161" s="235"/>
      <c r="C161" s="235"/>
      <c r="D161" s="249"/>
      <c r="E161" s="249"/>
      <c r="F161" s="250"/>
      <c r="G161" s="249"/>
      <c r="H161" s="249"/>
      <c r="I161" s="643"/>
      <c r="J161" s="235"/>
      <c r="K161" s="235"/>
      <c r="L161" s="236" t="s">
        <v>614</v>
      </c>
      <c r="M161" s="237"/>
      <c r="N161" s="237"/>
      <c r="O161" s="238"/>
      <c r="P161" s="237"/>
      <c r="Q161" s="237"/>
      <c r="R161" s="632">
        <f t="shared" si="102"/>
        <v>0</v>
      </c>
    </row>
    <row r="162" spans="1:18" s="214" customFormat="1" ht="18.95" customHeight="1">
      <c r="A162" s="262" t="s">
        <v>682</v>
      </c>
      <c r="B162" s="263"/>
      <c r="C162" s="263"/>
      <c r="D162" s="264">
        <f>D163</f>
        <v>0</v>
      </c>
      <c r="E162" s="264">
        <f aca="true" t="shared" si="126" ref="E162:F163">E163</f>
        <v>0</v>
      </c>
      <c r="F162" s="264">
        <f t="shared" si="126"/>
        <v>0</v>
      </c>
      <c r="G162" s="264">
        <f>D162+E162-F162</f>
        <v>0</v>
      </c>
      <c r="H162" s="264">
        <f>H163</f>
        <v>0</v>
      </c>
      <c r="I162" s="649">
        <f aca="true" t="shared" si="127" ref="I162:I167">G162-H162</f>
        <v>0</v>
      </c>
      <c r="J162" s="235"/>
      <c r="K162" s="235"/>
      <c r="L162" s="235"/>
      <c r="M162" s="249"/>
      <c r="N162" s="249"/>
      <c r="O162" s="250"/>
      <c r="P162" s="249"/>
      <c r="Q162" s="249"/>
      <c r="R162" s="635"/>
    </row>
    <row r="163" spans="1:18" s="214" customFormat="1" ht="18.95" customHeight="1">
      <c r="A163" s="232"/>
      <c r="B163" s="233" t="s">
        <v>683</v>
      </c>
      <c r="C163" s="233"/>
      <c r="D163" s="234">
        <f>D164</f>
        <v>0</v>
      </c>
      <c r="E163" s="234">
        <f t="shared" si="126"/>
        <v>0</v>
      </c>
      <c r="F163" s="234">
        <f t="shared" si="126"/>
        <v>0</v>
      </c>
      <c r="G163" s="234">
        <f>D163+E163-F163</f>
        <v>0</v>
      </c>
      <c r="H163" s="234">
        <f>H164</f>
        <v>0</v>
      </c>
      <c r="I163" s="640">
        <f t="shared" si="127"/>
        <v>0</v>
      </c>
      <c r="J163" s="235"/>
      <c r="K163" s="235"/>
      <c r="L163" s="235"/>
      <c r="M163" s="249"/>
      <c r="N163" s="249"/>
      <c r="O163" s="250"/>
      <c r="P163" s="249"/>
      <c r="Q163" s="249"/>
      <c r="R163" s="635"/>
    </row>
    <row r="164" spans="1:18" s="214" customFormat="1" ht="18.95" customHeight="1">
      <c r="A164" s="232"/>
      <c r="B164" s="235"/>
      <c r="C164" s="268" t="s">
        <v>684</v>
      </c>
      <c r="D164" s="243"/>
      <c r="E164" s="243"/>
      <c r="F164" s="244"/>
      <c r="G164" s="243"/>
      <c r="H164" s="243"/>
      <c r="I164" s="646">
        <f t="shared" si="127"/>
        <v>0</v>
      </c>
      <c r="J164" s="235"/>
      <c r="K164" s="235"/>
      <c r="L164" s="235"/>
      <c r="M164" s="249"/>
      <c r="N164" s="249"/>
      <c r="O164" s="250"/>
      <c r="P164" s="249"/>
      <c r="Q164" s="249"/>
      <c r="R164" s="635"/>
    </row>
    <row r="165" spans="1:18" s="214" customFormat="1" ht="18.95" customHeight="1">
      <c r="A165" s="1071" t="s">
        <v>615</v>
      </c>
      <c r="B165" s="1072"/>
      <c r="C165" s="1073"/>
      <c r="D165" s="258">
        <f>D115+D137+D150+D153+D162</f>
        <v>0</v>
      </c>
      <c r="E165" s="258">
        <f aca="true" t="shared" si="128" ref="E165:F165">E115+E137+E150+E153+E162</f>
        <v>31671946</v>
      </c>
      <c r="F165" s="258">
        <f t="shared" si="128"/>
        <v>0</v>
      </c>
      <c r="G165" s="258">
        <f>D165+E165-F165</f>
        <v>31671946</v>
      </c>
      <c r="H165" s="258">
        <f>H115+H137+H150+H153+H162</f>
        <v>22647356</v>
      </c>
      <c r="I165" s="647">
        <f t="shared" si="127"/>
        <v>9024590</v>
      </c>
      <c r="J165" s="1073" t="s">
        <v>616</v>
      </c>
      <c r="K165" s="1074"/>
      <c r="L165" s="1074"/>
      <c r="M165" s="258">
        <f>M115+M137+M150+M153</f>
        <v>5189348</v>
      </c>
      <c r="N165" s="258">
        <f aca="true" t="shared" si="129" ref="N165:O165">N115+N137+N150+N153</f>
        <v>39229709</v>
      </c>
      <c r="O165" s="258">
        <f t="shared" si="129"/>
        <v>0</v>
      </c>
      <c r="P165" s="258">
        <f>M165+N165-O165</f>
        <v>44419057</v>
      </c>
      <c r="Q165" s="258">
        <f>Q115+Q137+Q150+Q153</f>
        <v>40707520</v>
      </c>
      <c r="R165" s="637">
        <f aca="true" t="shared" si="130" ref="R165:R167">P165-Q165</f>
        <v>3711537</v>
      </c>
    </row>
    <row r="166" spans="1:18" s="214" customFormat="1" ht="18.95" customHeight="1">
      <c r="A166" s="1071" t="s">
        <v>617</v>
      </c>
      <c r="B166" s="1072"/>
      <c r="C166" s="1073"/>
      <c r="D166" s="265"/>
      <c r="E166" s="265">
        <f>2499125+1877600+552835+177412</f>
        <v>5106972</v>
      </c>
      <c r="F166" s="265"/>
      <c r="G166" s="258">
        <f>D166+E166-F166</f>
        <v>5106972</v>
      </c>
      <c r="H166" s="265">
        <v>3403955</v>
      </c>
      <c r="I166" s="647">
        <f t="shared" si="127"/>
        <v>1703017</v>
      </c>
      <c r="J166" s="1073" t="s">
        <v>618</v>
      </c>
      <c r="K166" s="1074"/>
      <c r="L166" s="1074"/>
      <c r="M166" s="266"/>
      <c r="N166" s="265"/>
      <c r="O166" s="265"/>
      <c r="P166" s="258">
        <f>M166+N166-O166</f>
        <v>0</v>
      </c>
      <c r="Q166" s="265">
        <v>0</v>
      </c>
      <c r="R166" s="637">
        <f t="shared" si="130"/>
        <v>0</v>
      </c>
    </row>
    <row r="167" spans="1:18" s="214" customFormat="1" ht="18.95" customHeight="1" thickBot="1">
      <c r="A167" s="1060" t="s">
        <v>619</v>
      </c>
      <c r="B167" s="1061"/>
      <c r="C167" s="1062"/>
      <c r="D167" s="267">
        <f>D114+D165+D166</f>
        <v>144413508</v>
      </c>
      <c r="E167" s="267">
        <f aca="true" t="shared" si="131" ref="E167:F167">E114+E165+E166</f>
        <v>115724921</v>
      </c>
      <c r="F167" s="267">
        <f t="shared" si="131"/>
        <v>0</v>
      </c>
      <c r="G167" s="267">
        <f>D167+E167-F167</f>
        <v>260138429</v>
      </c>
      <c r="H167" s="267">
        <f>H114+H165+H166</f>
        <v>244417181</v>
      </c>
      <c r="I167" s="650">
        <f t="shared" si="127"/>
        <v>15721248</v>
      </c>
      <c r="J167" s="1062" t="s">
        <v>620</v>
      </c>
      <c r="K167" s="1063"/>
      <c r="L167" s="1063"/>
      <c r="M167" s="267">
        <f>M114+M165+M166</f>
        <v>144413508</v>
      </c>
      <c r="N167" s="267">
        <f aca="true" t="shared" si="132" ref="N167:O167">N114+N165+N166</f>
        <v>115724921</v>
      </c>
      <c r="O167" s="267">
        <f t="shared" si="132"/>
        <v>0</v>
      </c>
      <c r="P167" s="267">
        <f>M167+N167-O167</f>
        <v>260138429</v>
      </c>
      <c r="Q167" s="267">
        <f>Q114+Q165+Q166</f>
        <v>244417181</v>
      </c>
      <c r="R167" s="638">
        <f t="shared" si="130"/>
        <v>15721248</v>
      </c>
    </row>
    <row r="168" s="214" customFormat="1" ht="16.5"/>
    <row r="176" ht="14.25">
      <c r="F176" s="3" t="s">
        <v>1665</v>
      </c>
    </row>
  </sheetData>
  <mergeCells count="44">
    <mergeCell ref="A1:R1"/>
    <mergeCell ref="A165:C165"/>
    <mergeCell ref="J165:L165"/>
    <mergeCell ref="A166:C166"/>
    <mergeCell ref="J166:L166"/>
    <mergeCell ref="A13:C13"/>
    <mergeCell ref="J13:L13"/>
    <mergeCell ref="A14:C14"/>
    <mergeCell ref="J14:L14"/>
    <mergeCell ref="A15:C15"/>
    <mergeCell ref="J15:L15"/>
    <mergeCell ref="A12:C12"/>
    <mergeCell ref="J12:L12"/>
    <mergeCell ref="A6:C6"/>
    <mergeCell ref="J6:L6"/>
    <mergeCell ref="A7:C7"/>
    <mergeCell ref="A167:C167"/>
    <mergeCell ref="J167:L167"/>
    <mergeCell ref="M21:R21"/>
    <mergeCell ref="A16:C16"/>
    <mergeCell ref="J16:R16"/>
    <mergeCell ref="A17:C17"/>
    <mergeCell ref="J17:L17"/>
    <mergeCell ref="A18:C18"/>
    <mergeCell ref="J18:L18"/>
    <mergeCell ref="A19:C19"/>
    <mergeCell ref="J19:L19"/>
    <mergeCell ref="A21:C22"/>
    <mergeCell ref="D21:I21"/>
    <mergeCell ref="J21:L22"/>
    <mergeCell ref="M3:R3"/>
    <mergeCell ref="A5:C5"/>
    <mergeCell ref="J5:L5"/>
    <mergeCell ref="A11:C11"/>
    <mergeCell ref="J11:L11"/>
    <mergeCell ref="A3:C4"/>
    <mergeCell ref="D3:I3"/>
    <mergeCell ref="J3:L4"/>
    <mergeCell ref="J7:L7"/>
    <mergeCell ref="A8:C8"/>
    <mergeCell ref="J8:L8"/>
    <mergeCell ref="A9:I10"/>
    <mergeCell ref="J9:L9"/>
    <mergeCell ref="J10:L10"/>
  </mergeCells>
  <printOptions/>
  <pageMargins left="0.5118110236220472" right="0.5511811023622047" top="0.6299212598425197" bottom="0.5905511811023623" header="0.31496062992125984" footer="0.31496062992125984"/>
  <pageSetup horizontalDpi="600" verticalDpi="600" orientation="landscape" paperSize="9" scale="53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J22" sqref="J22"/>
    </sheetView>
  </sheetViews>
  <sheetFormatPr defaultColWidth="9.00390625" defaultRowHeight="14.25"/>
  <cols>
    <col min="1" max="16384" width="9.00390625" style="3" customWidth="1"/>
  </cols>
  <sheetData>
    <row r="9" ht="49.5" customHeight="1"/>
    <row r="10" spans="1:91" ht="51" customHeight="1">
      <c r="A10" s="990" t="s">
        <v>775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</sheetData>
  <mergeCells count="1">
    <mergeCell ref="A10:M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pane ySplit="5" topLeftCell="A6" activePane="bottomLeft" state="frozen"/>
      <selection pane="bottomLeft" activeCell="F31" sqref="F31"/>
    </sheetView>
  </sheetViews>
  <sheetFormatPr defaultColWidth="9.00390625" defaultRowHeight="27" customHeight="1"/>
  <cols>
    <col min="1" max="1" width="18.625" style="69" customWidth="1"/>
    <col min="2" max="2" width="18.25390625" style="10" customWidth="1"/>
    <col min="3" max="3" width="20.375" style="10" customWidth="1"/>
    <col min="4" max="4" width="21.50390625" style="10" customWidth="1"/>
    <col min="5" max="5" width="22.50390625" style="10" customWidth="1"/>
    <col min="6" max="6" width="21.125" style="10" customWidth="1"/>
    <col min="7" max="7" width="18.375" style="10" customWidth="1"/>
    <col min="8" max="16384" width="9.00390625" style="10" customWidth="1"/>
  </cols>
  <sheetData>
    <row r="1" spans="1:7" s="9" customFormat="1" ht="34.5" customHeight="1">
      <c r="A1" s="993" t="s">
        <v>773</v>
      </c>
      <c r="B1" s="994"/>
      <c r="C1" s="994"/>
      <c r="D1" s="994"/>
      <c r="E1" s="994"/>
      <c r="F1" s="994"/>
      <c r="G1" s="994"/>
    </row>
    <row r="2" spans="1:7" s="9" customFormat="1" ht="20.25" customHeight="1">
      <c r="A2" s="995" t="s">
        <v>731</v>
      </c>
      <c r="B2" s="995"/>
      <c r="C2" s="995"/>
      <c r="D2" s="995"/>
      <c r="E2" s="995"/>
      <c r="F2" s="995"/>
      <c r="G2" s="995"/>
    </row>
    <row r="3" spans="1:7" ht="36" customHeight="1">
      <c r="A3" s="996" t="s">
        <v>3</v>
      </c>
      <c r="B3" s="997"/>
      <c r="C3" s="997"/>
      <c r="D3" s="997"/>
      <c r="E3" s="997"/>
      <c r="F3" s="997"/>
      <c r="G3" s="998"/>
    </row>
    <row r="4" spans="1:7" s="1" customFormat="1" ht="17.25" customHeight="1">
      <c r="A4" s="992" t="s">
        <v>111</v>
      </c>
      <c r="B4" s="992"/>
      <c r="C4" s="992"/>
      <c r="D4" s="566" t="s">
        <v>1012</v>
      </c>
      <c r="E4" s="566" t="s">
        <v>1012</v>
      </c>
      <c r="F4" s="566" t="s">
        <v>1013</v>
      </c>
      <c r="G4" s="1001" t="s">
        <v>735</v>
      </c>
    </row>
    <row r="5" spans="1:7" s="2" customFormat="1" ht="18" customHeight="1">
      <c r="A5" s="395" t="s">
        <v>6</v>
      </c>
      <c r="B5" s="395" t="s">
        <v>7</v>
      </c>
      <c r="C5" s="395" t="s">
        <v>8</v>
      </c>
      <c r="D5" s="567" t="s">
        <v>1014</v>
      </c>
      <c r="E5" s="567" t="s">
        <v>1015</v>
      </c>
      <c r="F5" s="567" t="s">
        <v>947</v>
      </c>
      <c r="G5" s="1001"/>
    </row>
    <row r="6" spans="1:7" s="311" customFormat="1" ht="15" customHeight="1">
      <c r="A6" s="334">
        <v>5100</v>
      </c>
      <c r="B6" s="335"/>
      <c r="C6" s="335"/>
      <c r="D6" s="310"/>
      <c r="E6" s="575"/>
      <c r="F6" s="310"/>
      <c r="G6" s="413"/>
    </row>
    <row r="7" spans="1:7" s="312" customFormat="1" ht="15" customHeight="1">
      <c r="A7" s="406" t="s">
        <v>115</v>
      </c>
      <c r="B7" s="408"/>
      <c r="C7" s="408"/>
      <c r="D7" s="318">
        <f>D9</f>
        <v>143863508300</v>
      </c>
      <c r="E7" s="578">
        <f>E9</f>
        <v>146465310000</v>
      </c>
      <c r="F7" s="318">
        <f>D7-E7</f>
        <v>-2601801700</v>
      </c>
      <c r="G7" s="439" t="s">
        <v>96</v>
      </c>
    </row>
    <row r="8" spans="1:7" s="312" customFormat="1" ht="15" customHeight="1">
      <c r="A8" s="348"/>
      <c r="B8" s="337" t="s">
        <v>116</v>
      </c>
      <c r="C8" s="338"/>
      <c r="D8" s="319"/>
      <c r="E8" s="579"/>
      <c r="F8" s="319"/>
      <c r="G8" s="422"/>
    </row>
    <row r="9" spans="1:7" s="312" customFormat="1" ht="15" customHeight="1">
      <c r="A9" s="348"/>
      <c r="B9" s="1077" t="s">
        <v>115</v>
      </c>
      <c r="C9" s="408"/>
      <c r="D9" s="318">
        <f>D11+D13+D15+D17</f>
        <v>143863508300</v>
      </c>
      <c r="E9" s="578">
        <f>E11+E13+E15+E17</f>
        <v>146465310000</v>
      </c>
      <c r="F9" s="104">
        <f>D9-E9</f>
        <v>-2601801700</v>
      </c>
      <c r="G9" s="419"/>
    </row>
    <row r="10" spans="1:7" s="312" customFormat="1" ht="15" customHeight="1">
      <c r="A10" s="348"/>
      <c r="B10" s="1077"/>
      <c r="C10" s="339" t="s">
        <v>148</v>
      </c>
      <c r="D10" s="319"/>
      <c r="E10" s="579"/>
      <c r="F10" s="319"/>
      <c r="G10" s="422"/>
    </row>
    <row r="11" spans="1:7" s="312" customFormat="1" ht="15" customHeight="1">
      <c r="A11" s="348"/>
      <c r="B11" s="1077"/>
      <c r="C11" s="340" t="s">
        <v>760</v>
      </c>
      <c r="D11" s="318">
        <v>4125679000</v>
      </c>
      <c r="E11" s="578">
        <v>4403611000</v>
      </c>
      <c r="F11" s="104">
        <f>D11-E11</f>
        <v>-277932000</v>
      </c>
      <c r="G11" s="419"/>
    </row>
    <row r="12" spans="1:7" s="312" customFormat="1" ht="15" customHeight="1">
      <c r="A12" s="348"/>
      <c r="B12" s="1077"/>
      <c r="C12" s="339" t="s">
        <v>118</v>
      </c>
      <c r="D12" s="319"/>
      <c r="E12" s="579"/>
      <c r="F12" s="319"/>
      <c r="G12" s="422"/>
    </row>
    <row r="13" spans="1:7" s="312" customFormat="1" ht="15" customHeight="1">
      <c r="A13" s="348"/>
      <c r="B13" s="1077"/>
      <c r="C13" s="340" t="s">
        <v>763</v>
      </c>
      <c r="D13" s="318">
        <v>1375619000</v>
      </c>
      <c r="E13" s="578">
        <v>1416866000</v>
      </c>
      <c r="F13" s="104">
        <f>D13-E13</f>
        <v>-41247000</v>
      </c>
      <c r="G13" s="440"/>
    </row>
    <row r="14" spans="1:7" s="312" customFormat="1" ht="15" customHeight="1">
      <c r="A14" s="348"/>
      <c r="B14" s="1077"/>
      <c r="C14" s="339" t="s">
        <v>759</v>
      </c>
      <c r="D14" s="322"/>
      <c r="E14" s="322"/>
      <c r="F14" s="322"/>
      <c r="G14" s="441"/>
    </row>
    <row r="15" spans="1:7" s="312" customFormat="1" ht="15" customHeight="1">
      <c r="A15" s="348"/>
      <c r="B15" s="1077"/>
      <c r="C15" s="340" t="s">
        <v>761</v>
      </c>
      <c r="D15" s="318">
        <v>113141565000</v>
      </c>
      <c r="E15" s="578">
        <v>114323874000</v>
      </c>
      <c r="F15" s="104">
        <f>D15-E15</f>
        <v>-1182309000</v>
      </c>
      <c r="G15" s="440"/>
    </row>
    <row r="16" spans="1:7" s="312" customFormat="1" ht="15" customHeight="1">
      <c r="A16" s="348"/>
      <c r="B16" s="1077"/>
      <c r="C16" s="390" t="s">
        <v>118</v>
      </c>
      <c r="D16" s="322"/>
      <c r="E16" s="322"/>
      <c r="F16" s="322"/>
      <c r="G16" s="441"/>
    </row>
    <row r="17" spans="1:7" s="312" customFormat="1" ht="15" customHeight="1">
      <c r="A17" s="348"/>
      <c r="B17" s="1078"/>
      <c r="C17" s="340" t="s">
        <v>762</v>
      </c>
      <c r="D17" s="322">
        <v>25220645300</v>
      </c>
      <c r="E17" s="322">
        <v>26320959000</v>
      </c>
      <c r="F17" s="323">
        <f>D17-E17</f>
        <v>-1100313700</v>
      </c>
      <c r="G17" s="441"/>
    </row>
    <row r="18" spans="1:7" s="312" customFormat="1" ht="15" customHeight="1">
      <c r="A18" s="344">
        <v>5400</v>
      </c>
      <c r="B18" s="409"/>
      <c r="C18" s="353"/>
      <c r="D18" s="324"/>
      <c r="E18" s="581"/>
      <c r="F18" s="324"/>
      <c r="G18" s="422"/>
    </row>
    <row r="19" spans="1:7" s="312" customFormat="1" ht="15" customHeight="1">
      <c r="A19" s="406" t="s">
        <v>22</v>
      </c>
      <c r="B19" s="407"/>
      <c r="C19" s="349"/>
      <c r="D19" s="104">
        <f>D21+D25</f>
        <v>550000000</v>
      </c>
      <c r="E19" s="573">
        <f>E21+E25</f>
        <v>0</v>
      </c>
      <c r="F19" s="104">
        <f>D19-E19</f>
        <v>550000000</v>
      </c>
      <c r="G19" s="419"/>
    </row>
    <row r="20" spans="1:7" s="312" customFormat="1" ht="15" customHeight="1">
      <c r="A20" s="348"/>
      <c r="B20" s="344">
        <v>5410</v>
      </c>
      <c r="C20" s="353"/>
      <c r="D20" s="314"/>
      <c r="E20" s="577"/>
      <c r="F20" s="314"/>
      <c r="G20" s="422"/>
    </row>
    <row r="21" spans="1:7" s="312" customFormat="1" ht="15" customHeight="1">
      <c r="A21" s="591"/>
      <c r="B21" s="684" t="s">
        <v>23</v>
      </c>
      <c r="C21" s="349"/>
      <c r="D21" s="104">
        <f>D23</f>
        <v>400000000</v>
      </c>
      <c r="E21" s="573">
        <f>E23</f>
        <v>0</v>
      </c>
      <c r="F21" s="104">
        <f>D21-E21</f>
        <v>400000000</v>
      </c>
      <c r="G21" s="419"/>
    </row>
    <row r="22" spans="1:7" s="312" customFormat="1" ht="15" customHeight="1">
      <c r="A22" s="348"/>
      <c r="B22" s="348"/>
      <c r="C22" s="350">
        <v>5411</v>
      </c>
      <c r="D22" s="323"/>
      <c r="E22" s="580"/>
      <c r="F22" s="323"/>
      <c r="G22" s="420"/>
    </row>
    <row r="23" spans="1:7" s="312" customFormat="1" ht="15" customHeight="1">
      <c r="A23" s="348"/>
      <c r="B23" s="352"/>
      <c r="C23" s="349" t="s">
        <v>24</v>
      </c>
      <c r="D23" s="325">
        <v>400000000</v>
      </c>
      <c r="E23" s="582"/>
      <c r="F23" s="325">
        <f>D23-E23</f>
        <v>400000000</v>
      </c>
      <c r="G23" s="419"/>
    </row>
    <row r="24" spans="1:7" s="312" customFormat="1" ht="15" customHeight="1">
      <c r="A24" s="348"/>
      <c r="B24" s="344">
        <v>5420</v>
      </c>
      <c r="C24" s="351"/>
      <c r="D24" s="326"/>
      <c r="E24" s="583"/>
      <c r="F24" s="326"/>
      <c r="G24" s="429"/>
    </row>
    <row r="25" spans="1:7" s="312" customFormat="1" ht="15" customHeight="1">
      <c r="A25" s="348"/>
      <c r="B25" s="406" t="s">
        <v>25</v>
      </c>
      <c r="C25" s="349"/>
      <c r="D25" s="104">
        <f>D27</f>
        <v>150000000</v>
      </c>
      <c r="E25" s="573">
        <f>E27</f>
        <v>0</v>
      </c>
      <c r="F25" s="104">
        <f>D25-E25</f>
        <v>150000000</v>
      </c>
      <c r="G25" s="419"/>
    </row>
    <row r="26" spans="1:7" s="312" customFormat="1" ht="15" customHeight="1">
      <c r="A26" s="348"/>
      <c r="B26" s="348"/>
      <c r="C26" s="351">
        <v>5421</v>
      </c>
      <c r="D26" s="314"/>
      <c r="E26" s="577"/>
      <c r="F26" s="314"/>
      <c r="G26" s="422"/>
    </row>
    <row r="27" spans="1:7" s="312" customFormat="1" ht="15" customHeight="1">
      <c r="A27" s="352"/>
      <c r="B27" s="352"/>
      <c r="C27" s="349" t="s">
        <v>26</v>
      </c>
      <c r="D27" s="325">
        <v>150000000</v>
      </c>
      <c r="E27" s="582"/>
      <c r="F27" s="325">
        <f>D27-E27</f>
        <v>150000000</v>
      </c>
      <c r="G27" s="419"/>
    </row>
    <row r="28" spans="1:7" s="312" customFormat="1" ht="21.75" customHeight="1">
      <c r="A28" s="1076" t="s">
        <v>9</v>
      </c>
      <c r="B28" s="1076"/>
      <c r="C28" s="1076"/>
      <c r="D28" s="333">
        <f>D7+D19</f>
        <v>144413508300</v>
      </c>
      <c r="E28" s="333">
        <f>E7+E19</f>
        <v>146465310000</v>
      </c>
      <c r="F28" s="333">
        <f>D28-E28</f>
        <v>-2051801700</v>
      </c>
      <c r="G28" s="432"/>
    </row>
    <row r="29" s="312" customFormat="1" ht="27" customHeight="1">
      <c r="A29" s="316"/>
    </row>
  </sheetData>
  <mergeCells count="7">
    <mergeCell ref="A28:C28"/>
    <mergeCell ref="A1:G1"/>
    <mergeCell ref="A2:G2"/>
    <mergeCell ref="A3:G3"/>
    <mergeCell ref="A4:C4"/>
    <mergeCell ref="G4:G5"/>
    <mergeCell ref="B9:B17"/>
  </mergeCells>
  <printOptions/>
  <pageMargins left="0.6692913385826772" right="0.15748031496062992" top="0.7480314960629921" bottom="0.35433070866141736" header="0.4724409448818898" footer="0.15748031496062992"/>
  <pageSetup horizontalDpi="600" verticalDpi="600" orientation="landscape" paperSize="9" scale="90" r:id="rId2"/>
  <headerFooter alignWithMargins="0">
    <oddHeader>&amp;L&amp;"굴림체,보통"&amp;8&lt;별지 제2호 서식&gt;</oddHead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 topLeftCell="A1">
      <pane ySplit="5" topLeftCell="A111" activePane="bottomLeft" state="frozen"/>
      <selection pane="bottomLeft" activeCell="D49" sqref="D49"/>
    </sheetView>
  </sheetViews>
  <sheetFormatPr defaultColWidth="9.00390625" defaultRowHeight="14.25"/>
  <cols>
    <col min="1" max="1" width="17.25390625" style="69" customWidth="1"/>
    <col min="2" max="2" width="18.50390625" style="69" customWidth="1"/>
    <col min="3" max="3" width="20.875" style="9" customWidth="1"/>
    <col min="4" max="4" width="23.50390625" style="9" customWidth="1"/>
    <col min="5" max="5" width="23.125" style="9" customWidth="1"/>
    <col min="6" max="6" width="19.00390625" style="9" customWidth="1"/>
    <col min="7" max="7" width="18.50390625" style="9" customWidth="1"/>
    <col min="8" max="16384" width="9.00390625" style="9" customWidth="1"/>
  </cols>
  <sheetData>
    <row r="1" spans="1:7" ht="33" customHeight="1">
      <c r="A1" s="993" t="s">
        <v>109</v>
      </c>
      <c r="B1" s="994"/>
      <c r="C1" s="994"/>
      <c r="D1" s="994"/>
      <c r="E1" s="994"/>
      <c r="F1" s="994"/>
      <c r="G1" s="994"/>
    </row>
    <row r="2" spans="1:7" ht="17.25" customHeight="1">
      <c r="A2" s="995" t="s">
        <v>785</v>
      </c>
      <c r="B2" s="995"/>
      <c r="C2" s="995"/>
      <c r="D2" s="995"/>
      <c r="E2" s="995"/>
      <c r="F2" s="995"/>
      <c r="G2" s="995"/>
    </row>
    <row r="3" spans="1:7" s="72" customFormat="1" ht="28.5" customHeight="1">
      <c r="A3" s="1080" t="s">
        <v>10</v>
      </c>
      <c r="B3" s="1081"/>
      <c r="C3" s="1081"/>
      <c r="D3" s="1081"/>
      <c r="E3" s="1081"/>
      <c r="F3" s="1081"/>
      <c r="G3" s="1082"/>
    </row>
    <row r="4" spans="1:7" s="73" customFormat="1" ht="18" customHeight="1">
      <c r="A4" s="999" t="s">
        <v>4</v>
      </c>
      <c r="B4" s="1000"/>
      <c r="C4" s="1001"/>
      <c r="D4" s="568" t="s">
        <v>1012</v>
      </c>
      <c r="E4" s="568" t="s">
        <v>1012</v>
      </c>
      <c r="F4" s="568" t="s">
        <v>1013</v>
      </c>
      <c r="G4" s="1001" t="s">
        <v>735</v>
      </c>
    </row>
    <row r="5" spans="1:7" s="73" customFormat="1" ht="19.5" customHeight="1">
      <c r="A5" s="395" t="s">
        <v>6</v>
      </c>
      <c r="B5" s="395" t="s">
        <v>7</v>
      </c>
      <c r="C5" s="395" t="s">
        <v>8</v>
      </c>
      <c r="D5" s="569" t="s">
        <v>1014</v>
      </c>
      <c r="E5" s="569" t="s">
        <v>1015</v>
      </c>
      <c r="F5" s="569" t="s">
        <v>947</v>
      </c>
      <c r="G5" s="1001"/>
    </row>
    <row r="6" spans="1:7" s="366" customFormat="1" ht="15" customHeight="1">
      <c r="A6" s="334">
        <v>4100</v>
      </c>
      <c r="B6" s="335"/>
      <c r="C6" s="335"/>
      <c r="D6" s="335"/>
      <c r="E6" s="589"/>
      <c r="F6" s="335"/>
      <c r="G6" s="418"/>
    </row>
    <row r="7" spans="1:7" s="368" customFormat="1" ht="15" customHeight="1">
      <c r="A7" s="476" t="s">
        <v>94</v>
      </c>
      <c r="B7" s="407"/>
      <c r="C7" s="367"/>
      <c r="D7" s="104">
        <f>D9+D25</f>
        <v>86089342796</v>
      </c>
      <c r="E7" s="573">
        <f>E9+E25</f>
        <v>85102637740</v>
      </c>
      <c r="F7" s="104">
        <f>D7-E7</f>
        <v>986705056</v>
      </c>
      <c r="G7" s="439" t="s">
        <v>96</v>
      </c>
    </row>
    <row r="8" spans="1:7" s="368" customFormat="1" ht="15" customHeight="1">
      <c r="A8" s="348"/>
      <c r="B8" s="344">
        <v>4110</v>
      </c>
      <c r="C8" s="369"/>
      <c r="D8" s="314"/>
      <c r="E8" s="577"/>
      <c r="F8" s="314"/>
      <c r="G8" s="422"/>
    </row>
    <row r="9" spans="1:7" s="368" customFormat="1" ht="15" customHeight="1">
      <c r="A9" s="348"/>
      <c r="B9" s="1079" t="s">
        <v>78</v>
      </c>
      <c r="C9" s="370"/>
      <c r="D9" s="104">
        <f>SUM(D11+D13+D15+D17+D19+D21+D23)</f>
        <v>70648346126</v>
      </c>
      <c r="E9" s="573">
        <f>SUM(E11+E13+E15+E17+E19+E21+E23)</f>
        <v>68767917000</v>
      </c>
      <c r="F9" s="104">
        <f>D9-E9</f>
        <v>1880429126</v>
      </c>
      <c r="G9" s="419"/>
    </row>
    <row r="10" spans="1:7" s="371" customFormat="1" ht="15" customHeight="1">
      <c r="A10" s="348"/>
      <c r="B10" s="1079"/>
      <c r="C10" s="350">
        <v>4111</v>
      </c>
      <c r="D10" s="323"/>
      <c r="E10" s="580"/>
      <c r="F10" s="323"/>
      <c r="G10" s="420"/>
    </row>
    <row r="11" spans="1:7" s="368" customFormat="1" ht="15" customHeight="1">
      <c r="A11" s="348"/>
      <c r="B11" s="1079"/>
      <c r="C11" s="349" t="s">
        <v>127</v>
      </c>
      <c r="D11" s="104">
        <v>29615703350</v>
      </c>
      <c r="E11" s="573">
        <v>29032795000</v>
      </c>
      <c r="F11" s="104">
        <f>D11-E11</f>
        <v>582908350</v>
      </c>
      <c r="G11" s="442"/>
    </row>
    <row r="12" spans="1:7" s="371" customFormat="1" ht="15" customHeight="1">
      <c r="A12" s="348"/>
      <c r="B12" s="1079"/>
      <c r="C12" s="351">
        <v>4112</v>
      </c>
      <c r="D12" s="314"/>
      <c r="E12" s="577"/>
      <c r="F12" s="314"/>
      <c r="G12" s="443"/>
    </row>
    <row r="13" spans="1:7" s="368" customFormat="1" ht="15" customHeight="1">
      <c r="A13" s="348"/>
      <c r="B13" s="1079"/>
      <c r="C13" s="349" t="s">
        <v>29</v>
      </c>
      <c r="D13" s="104">
        <v>19412196815</v>
      </c>
      <c r="E13" s="573">
        <v>18824719000</v>
      </c>
      <c r="F13" s="104">
        <f>D13-E13</f>
        <v>587477815</v>
      </c>
      <c r="G13" s="442"/>
    </row>
    <row r="14" spans="1:7" s="371" customFormat="1" ht="15" customHeight="1">
      <c r="A14" s="348"/>
      <c r="B14" s="1079"/>
      <c r="C14" s="351">
        <v>4113</v>
      </c>
      <c r="D14" s="314"/>
      <c r="E14" s="577"/>
      <c r="F14" s="314"/>
      <c r="G14" s="443"/>
    </row>
    <row r="15" spans="1:7" s="368" customFormat="1" ht="15" customHeight="1">
      <c r="A15" s="348"/>
      <c r="B15" s="1079"/>
      <c r="C15" s="349" t="s">
        <v>30</v>
      </c>
      <c r="D15" s="104">
        <v>9501157201</v>
      </c>
      <c r="E15" s="573">
        <v>9545117000</v>
      </c>
      <c r="F15" s="104">
        <f>D15-E15</f>
        <v>-43959799</v>
      </c>
      <c r="G15" s="444"/>
    </row>
    <row r="16" spans="1:7" s="371" customFormat="1" ht="15" customHeight="1">
      <c r="A16" s="348"/>
      <c r="B16" s="1079"/>
      <c r="C16" s="351">
        <v>4114</v>
      </c>
      <c r="D16" s="314"/>
      <c r="E16" s="577"/>
      <c r="F16" s="314"/>
      <c r="G16" s="429"/>
    </row>
    <row r="17" spans="1:7" s="368" customFormat="1" ht="15" customHeight="1">
      <c r="A17" s="348"/>
      <c r="B17" s="1079"/>
      <c r="C17" s="349" t="s">
        <v>31</v>
      </c>
      <c r="D17" s="104">
        <v>1558367000</v>
      </c>
      <c r="E17" s="573">
        <v>1461900000</v>
      </c>
      <c r="F17" s="104">
        <f>D17-E17</f>
        <v>96467000</v>
      </c>
      <c r="G17" s="444"/>
    </row>
    <row r="18" spans="1:7" s="371" customFormat="1" ht="15" customHeight="1">
      <c r="A18" s="348"/>
      <c r="B18" s="1079"/>
      <c r="C18" s="351">
        <v>4115</v>
      </c>
      <c r="D18" s="314"/>
      <c r="E18" s="577"/>
      <c r="F18" s="314"/>
      <c r="G18" s="429"/>
    </row>
    <row r="19" spans="1:7" s="368" customFormat="1" ht="15" customHeight="1">
      <c r="A19" s="348"/>
      <c r="B19" s="1079"/>
      <c r="C19" s="349" t="s">
        <v>32</v>
      </c>
      <c r="D19" s="104">
        <v>10097849560</v>
      </c>
      <c r="E19" s="573">
        <v>9675532000</v>
      </c>
      <c r="F19" s="104">
        <f>D19-E19</f>
        <v>422317560</v>
      </c>
      <c r="G19" s="442"/>
    </row>
    <row r="20" spans="1:7" s="371" customFormat="1" ht="15" customHeight="1">
      <c r="A20" s="348"/>
      <c r="B20" s="1079"/>
      <c r="C20" s="351">
        <v>4116</v>
      </c>
      <c r="D20" s="314"/>
      <c r="E20" s="577"/>
      <c r="F20" s="314"/>
      <c r="G20" s="443"/>
    </row>
    <row r="21" spans="1:7" s="371" customFormat="1" ht="15" customHeight="1">
      <c r="A21" s="476"/>
      <c r="B21" s="476"/>
      <c r="C21" s="349" t="s">
        <v>100</v>
      </c>
      <c r="D21" s="104">
        <v>151241200</v>
      </c>
      <c r="E21" s="573">
        <v>227854000</v>
      </c>
      <c r="F21" s="104">
        <f>D21-E21</f>
        <v>-76612800</v>
      </c>
      <c r="G21" s="442"/>
    </row>
    <row r="22" spans="1:7" s="371" customFormat="1" ht="15" customHeight="1">
      <c r="A22" s="406"/>
      <c r="B22" s="360"/>
      <c r="C22" s="350">
        <v>4117</v>
      </c>
      <c r="D22" s="372"/>
      <c r="E22" s="598"/>
      <c r="F22" s="372"/>
      <c r="G22" s="445"/>
    </row>
    <row r="23" spans="1:7" s="368" customFormat="1" ht="15" customHeight="1">
      <c r="A23" s="348"/>
      <c r="B23" s="407"/>
      <c r="C23" s="349" t="s">
        <v>738</v>
      </c>
      <c r="D23" s="104">
        <v>311831000</v>
      </c>
      <c r="E23" s="573"/>
      <c r="F23" s="104">
        <f>D23-E23</f>
        <v>311831000</v>
      </c>
      <c r="G23" s="419"/>
    </row>
    <row r="24" spans="1:7" s="371" customFormat="1" ht="15" customHeight="1">
      <c r="A24" s="348"/>
      <c r="B24" s="344">
        <v>4120</v>
      </c>
      <c r="C24" s="353"/>
      <c r="D24" s="314"/>
      <c r="E24" s="577"/>
      <c r="F24" s="314"/>
      <c r="G24" s="422"/>
    </row>
    <row r="25" spans="1:7" s="368" customFormat="1" ht="15" customHeight="1">
      <c r="A25" s="348"/>
      <c r="B25" s="355" t="s">
        <v>33</v>
      </c>
      <c r="C25" s="349"/>
      <c r="D25" s="104">
        <f>SUM(D27:D37)</f>
        <v>15440996670</v>
      </c>
      <c r="E25" s="573">
        <f>SUM(E27:E37)</f>
        <v>16334720740</v>
      </c>
      <c r="F25" s="104">
        <f>D25-E25</f>
        <v>-893724070</v>
      </c>
      <c r="G25" s="419"/>
    </row>
    <row r="26" spans="1:7" s="371" customFormat="1" ht="15" customHeight="1">
      <c r="A26" s="348"/>
      <c r="B26" s="348"/>
      <c r="C26" s="351">
        <v>4121</v>
      </c>
      <c r="D26" s="314"/>
      <c r="E26" s="577"/>
      <c r="F26" s="314"/>
      <c r="G26" s="422"/>
    </row>
    <row r="27" spans="1:7" s="368" customFormat="1" ht="15" customHeight="1">
      <c r="A27" s="348"/>
      <c r="B27" s="348"/>
      <c r="C27" s="349" t="s">
        <v>34</v>
      </c>
      <c r="D27" s="104">
        <v>6622037000</v>
      </c>
      <c r="E27" s="573">
        <v>7032193000</v>
      </c>
      <c r="F27" s="104">
        <f>D27-E27</f>
        <v>-410156000</v>
      </c>
      <c r="G27" s="419"/>
    </row>
    <row r="28" spans="1:7" s="371" customFormat="1" ht="15" customHeight="1">
      <c r="A28" s="348"/>
      <c r="B28" s="348"/>
      <c r="C28" s="351">
        <v>4122</v>
      </c>
      <c r="D28" s="314"/>
      <c r="E28" s="577"/>
      <c r="F28" s="314"/>
      <c r="G28" s="422"/>
    </row>
    <row r="29" spans="1:7" s="368" customFormat="1" ht="15" customHeight="1">
      <c r="A29" s="348"/>
      <c r="B29" s="348"/>
      <c r="C29" s="349" t="s">
        <v>35</v>
      </c>
      <c r="D29" s="104">
        <v>6360186000</v>
      </c>
      <c r="E29" s="573">
        <v>7027262000</v>
      </c>
      <c r="F29" s="104">
        <f>D29-E29</f>
        <v>-667076000</v>
      </c>
      <c r="G29" s="419"/>
    </row>
    <row r="30" spans="1:7" s="371" customFormat="1" ht="15" customHeight="1">
      <c r="A30" s="591"/>
      <c r="B30" s="591"/>
      <c r="C30" s="594">
        <v>4123</v>
      </c>
      <c r="D30" s="577"/>
      <c r="E30" s="577"/>
      <c r="F30" s="577"/>
      <c r="G30" s="609"/>
    </row>
    <row r="31" spans="1:7" s="368" customFormat="1" ht="15" customHeight="1">
      <c r="A31" s="348"/>
      <c r="B31" s="348"/>
      <c r="C31" s="349" t="s">
        <v>36</v>
      </c>
      <c r="D31" s="104">
        <v>996162999</v>
      </c>
      <c r="E31" s="573">
        <v>910413000</v>
      </c>
      <c r="F31" s="104">
        <f>D31-E31</f>
        <v>85749999</v>
      </c>
      <c r="G31" s="419"/>
    </row>
    <row r="32" spans="1:7" s="371" customFormat="1" ht="15" customHeight="1">
      <c r="A32" s="352"/>
      <c r="B32" s="352"/>
      <c r="C32" s="357">
        <v>4124</v>
      </c>
      <c r="D32" s="584"/>
      <c r="E32" s="584"/>
      <c r="F32" s="584"/>
      <c r="G32" s="622"/>
    </row>
    <row r="33" spans="1:7" s="368" customFormat="1" ht="15" customHeight="1">
      <c r="A33" s="348"/>
      <c r="B33" s="348"/>
      <c r="C33" s="349" t="s">
        <v>79</v>
      </c>
      <c r="D33" s="104">
        <v>498481159</v>
      </c>
      <c r="E33" s="573">
        <v>479410000</v>
      </c>
      <c r="F33" s="104">
        <f>D33-E33</f>
        <v>19071159</v>
      </c>
      <c r="G33" s="419"/>
    </row>
    <row r="34" spans="1:7" s="371" customFormat="1" ht="15" customHeight="1">
      <c r="A34" s="348"/>
      <c r="B34" s="348"/>
      <c r="C34" s="351">
        <v>4125</v>
      </c>
      <c r="D34" s="314"/>
      <c r="E34" s="577"/>
      <c r="F34" s="314"/>
      <c r="G34" s="422"/>
    </row>
    <row r="35" spans="1:7" s="368" customFormat="1" ht="15" customHeight="1">
      <c r="A35" s="348"/>
      <c r="B35" s="348"/>
      <c r="C35" s="349" t="s">
        <v>37</v>
      </c>
      <c r="D35" s="104">
        <v>706583000</v>
      </c>
      <c r="E35" s="573">
        <v>885442740</v>
      </c>
      <c r="F35" s="104">
        <f>D35-E35</f>
        <v>-178859740</v>
      </c>
      <c r="G35" s="419"/>
    </row>
    <row r="36" spans="1:7" s="371" customFormat="1" ht="15" customHeight="1">
      <c r="A36" s="348"/>
      <c r="B36" s="348"/>
      <c r="C36" s="351">
        <v>4127</v>
      </c>
      <c r="D36" s="314"/>
      <c r="E36" s="577"/>
      <c r="F36" s="314"/>
      <c r="G36" s="422"/>
    </row>
    <row r="37" spans="1:7" s="368" customFormat="1" ht="15" customHeight="1">
      <c r="A37" s="352"/>
      <c r="B37" s="352"/>
      <c r="C37" s="349" t="s">
        <v>38</v>
      </c>
      <c r="D37" s="104">
        <v>257546512</v>
      </c>
      <c r="E37" s="573"/>
      <c r="F37" s="104">
        <f>D37-E37</f>
        <v>257546512</v>
      </c>
      <c r="G37" s="419"/>
    </row>
    <row r="38" spans="1:7" s="368" customFormat="1" ht="15" customHeight="1">
      <c r="A38" s="344">
        <v>4200</v>
      </c>
      <c r="B38" s="409"/>
      <c r="C38" s="353"/>
      <c r="D38" s="314"/>
      <c r="E38" s="577"/>
      <c r="F38" s="314"/>
      <c r="G38" s="422"/>
    </row>
    <row r="39" spans="1:7" s="368" customFormat="1" ht="15" customHeight="1">
      <c r="A39" s="406" t="s">
        <v>39</v>
      </c>
      <c r="B39" s="407"/>
      <c r="C39" s="349"/>
      <c r="D39" s="104">
        <f>SUM(D41+D55+D75)</f>
        <v>13166223909</v>
      </c>
      <c r="E39" s="573">
        <f>SUM(E41+E55+E75)</f>
        <v>15353326600</v>
      </c>
      <c r="F39" s="104">
        <f>D39-E39</f>
        <v>-2187102691</v>
      </c>
      <c r="G39" s="419"/>
    </row>
    <row r="40" spans="1:7" s="371" customFormat="1" ht="15" customHeight="1">
      <c r="A40" s="406"/>
      <c r="B40" s="344">
        <v>4210</v>
      </c>
      <c r="C40" s="355"/>
      <c r="D40" s="323"/>
      <c r="E40" s="580"/>
      <c r="F40" s="323"/>
      <c r="G40" s="420"/>
    </row>
    <row r="41" spans="1:7" s="368" customFormat="1" ht="15" customHeight="1">
      <c r="A41" s="406"/>
      <c r="B41" s="406" t="s">
        <v>45</v>
      </c>
      <c r="C41" s="349"/>
      <c r="D41" s="104">
        <f>SUM(D43:D53)</f>
        <v>5972613100</v>
      </c>
      <c r="E41" s="573">
        <f>SUM(E43:E53)</f>
        <v>7269694600</v>
      </c>
      <c r="F41" s="104">
        <f>D41-E41</f>
        <v>-1297081500</v>
      </c>
      <c r="G41" s="419"/>
    </row>
    <row r="42" spans="1:7" s="374" customFormat="1" ht="15" customHeight="1">
      <c r="A42" s="360"/>
      <c r="B42" s="348"/>
      <c r="C42" s="351">
        <v>4211</v>
      </c>
      <c r="D42" s="105"/>
      <c r="E42" s="574"/>
      <c r="F42" s="105"/>
      <c r="G42" s="429"/>
    </row>
    <row r="43" spans="1:7" s="368" customFormat="1" ht="15" customHeight="1">
      <c r="A43" s="348"/>
      <c r="B43" s="348"/>
      <c r="C43" s="349" t="s">
        <v>40</v>
      </c>
      <c r="D43" s="104">
        <v>1290094500</v>
      </c>
      <c r="E43" s="573">
        <v>2435970000</v>
      </c>
      <c r="F43" s="104">
        <f>D43-E43</f>
        <v>-1145875500</v>
      </c>
      <c r="G43" s="419"/>
    </row>
    <row r="44" spans="1:7" s="374" customFormat="1" ht="15" customHeight="1">
      <c r="A44" s="360"/>
      <c r="B44" s="348"/>
      <c r="C44" s="351">
        <v>4212</v>
      </c>
      <c r="D44" s="105"/>
      <c r="E44" s="574"/>
      <c r="F44" s="105"/>
      <c r="G44" s="429"/>
    </row>
    <row r="45" spans="1:7" s="368" customFormat="1" ht="15" customHeight="1">
      <c r="A45" s="348"/>
      <c r="B45" s="348"/>
      <c r="C45" s="349" t="s">
        <v>41</v>
      </c>
      <c r="D45" s="104">
        <v>409533600</v>
      </c>
      <c r="E45" s="573">
        <v>443239600</v>
      </c>
      <c r="F45" s="104">
        <f>D45-E45</f>
        <v>-33706000</v>
      </c>
      <c r="G45" s="419"/>
    </row>
    <row r="46" spans="1:7" s="374" customFormat="1" ht="15" customHeight="1">
      <c r="A46" s="360"/>
      <c r="B46" s="348"/>
      <c r="C46" s="351">
        <v>4213</v>
      </c>
      <c r="D46" s="105"/>
      <c r="E46" s="574"/>
      <c r="F46" s="105"/>
      <c r="G46" s="429"/>
    </row>
    <row r="47" spans="1:7" s="368" customFormat="1" ht="15" customHeight="1">
      <c r="A47" s="348"/>
      <c r="B47" s="348"/>
      <c r="C47" s="349" t="s">
        <v>42</v>
      </c>
      <c r="D47" s="104">
        <v>53800000</v>
      </c>
      <c r="E47" s="573">
        <v>82000000</v>
      </c>
      <c r="F47" s="104">
        <f>D47-E47</f>
        <v>-28200000</v>
      </c>
      <c r="G47" s="419"/>
    </row>
    <row r="48" spans="1:7" s="374" customFormat="1" ht="15" customHeight="1">
      <c r="A48" s="360"/>
      <c r="B48" s="348"/>
      <c r="C48" s="351">
        <v>4215</v>
      </c>
      <c r="D48" s="105"/>
      <c r="E48" s="574"/>
      <c r="F48" s="105"/>
      <c r="G48" s="429"/>
    </row>
    <row r="49" spans="1:7" s="368" customFormat="1" ht="15" customHeight="1">
      <c r="A49" s="348"/>
      <c r="B49" s="348"/>
      <c r="C49" s="349" t="s">
        <v>43</v>
      </c>
      <c r="D49" s="104">
        <v>4008132200</v>
      </c>
      <c r="E49" s="573">
        <v>4011132200</v>
      </c>
      <c r="F49" s="104">
        <f>D49-E49</f>
        <v>-3000000</v>
      </c>
      <c r="G49" s="419"/>
    </row>
    <row r="50" spans="1:7" s="374" customFormat="1" ht="15" customHeight="1">
      <c r="A50" s="360"/>
      <c r="B50" s="360"/>
      <c r="C50" s="351">
        <v>4216</v>
      </c>
      <c r="D50" s="105"/>
      <c r="E50" s="574"/>
      <c r="F50" s="105"/>
      <c r="G50" s="429"/>
    </row>
    <row r="51" spans="1:7" s="368" customFormat="1" ht="15" customHeight="1">
      <c r="A51" s="348"/>
      <c r="B51" s="1086"/>
      <c r="C51" s="349" t="s">
        <v>44</v>
      </c>
      <c r="D51" s="104">
        <v>60000000</v>
      </c>
      <c r="E51" s="573">
        <v>64900000</v>
      </c>
      <c r="F51" s="104">
        <f>D51-E51</f>
        <v>-4900000</v>
      </c>
      <c r="G51" s="419"/>
    </row>
    <row r="52" spans="1:7" s="374" customFormat="1" ht="15" customHeight="1">
      <c r="A52" s="360"/>
      <c r="B52" s="1086"/>
      <c r="C52" s="351">
        <v>4217</v>
      </c>
      <c r="D52" s="105"/>
      <c r="E52" s="574"/>
      <c r="F52" s="105"/>
      <c r="G52" s="429"/>
    </row>
    <row r="53" spans="1:7" s="368" customFormat="1" ht="15" customHeight="1">
      <c r="A53" s="348"/>
      <c r="B53" s="1087"/>
      <c r="C53" s="349" t="s">
        <v>129</v>
      </c>
      <c r="D53" s="104">
        <v>151052800</v>
      </c>
      <c r="E53" s="573">
        <v>232452800</v>
      </c>
      <c r="F53" s="104">
        <f>D53-E53</f>
        <v>-81400000</v>
      </c>
      <c r="G53" s="419"/>
    </row>
    <row r="54" spans="1:7" s="374" customFormat="1" ht="15" customHeight="1">
      <c r="A54" s="360"/>
      <c r="B54" s="344">
        <v>4220</v>
      </c>
      <c r="C54" s="350"/>
      <c r="D54" s="376"/>
      <c r="E54" s="600"/>
      <c r="F54" s="376"/>
      <c r="G54" s="421"/>
    </row>
    <row r="55" spans="1:7" s="368" customFormat="1" ht="15" customHeight="1">
      <c r="A55" s="348"/>
      <c r="B55" s="406" t="s">
        <v>82</v>
      </c>
      <c r="C55" s="349"/>
      <c r="D55" s="104">
        <f>SUM(D57:D73)</f>
        <v>5209634379</v>
      </c>
      <c r="E55" s="573">
        <f>SUM(E57:E73)</f>
        <v>6270144000</v>
      </c>
      <c r="F55" s="104">
        <f>D55-E55</f>
        <v>-1060509621</v>
      </c>
      <c r="G55" s="419"/>
    </row>
    <row r="56" spans="1:7" s="374" customFormat="1" ht="15" customHeight="1">
      <c r="A56" s="360"/>
      <c r="B56" s="360"/>
      <c r="C56" s="351">
        <v>4221</v>
      </c>
      <c r="D56" s="105"/>
      <c r="E56" s="574"/>
      <c r="F56" s="105"/>
      <c r="G56" s="429"/>
    </row>
    <row r="57" spans="1:7" s="368" customFormat="1" ht="15" customHeight="1">
      <c r="A57" s="348"/>
      <c r="B57" s="348"/>
      <c r="C57" s="349" t="s">
        <v>46</v>
      </c>
      <c r="D57" s="104">
        <v>98837354</v>
      </c>
      <c r="E57" s="573">
        <v>121340000</v>
      </c>
      <c r="F57" s="104">
        <f>D57-E57</f>
        <v>-22502646</v>
      </c>
      <c r="G57" s="419"/>
    </row>
    <row r="58" spans="1:7" s="374" customFormat="1" ht="15" customHeight="1">
      <c r="A58" s="360"/>
      <c r="B58" s="360"/>
      <c r="C58" s="351">
        <v>4222</v>
      </c>
      <c r="D58" s="105"/>
      <c r="E58" s="574"/>
      <c r="F58" s="105"/>
      <c r="G58" s="429"/>
    </row>
    <row r="59" spans="1:7" s="368" customFormat="1" ht="15" customHeight="1">
      <c r="A59" s="348"/>
      <c r="B59" s="348"/>
      <c r="C59" s="349" t="s">
        <v>47</v>
      </c>
      <c r="D59" s="104">
        <v>302400000</v>
      </c>
      <c r="E59" s="573">
        <v>343400000</v>
      </c>
      <c r="F59" s="104">
        <f>D59-E59</f>
        <v>-41000000</v>
      </c>
      <c r="G59" s="419"/>
    </row>
    <row r="60" spans="1:7" s="374" customFormat="1" ht="15" customHeight="1">
      <c r="A60" s="360"/>
      <c r="B60" s="360"/>
      <c r="C60" s="351">
        <v>4223</v>
      </c>
      <c r="D60" s="105"/>
      <c r="E60" s="574"/>
      <c r="F60" s="105"/>
      <c r="G60" s="429"/>
    </row>
    <row r="61" spans="1:7" s="368" customFormat="1" ht="15" customHeight="1">
      <c r="A61" s="348"/>
      <c r="B61" s="348"/>
      <c r="C61" s="349" t="s">
        <v>48</v>
      </c>
      <c r="D61" s="104">
        <v>450622000</v>
      </c>
      <c r="E61" s="573">
        <v>477230000</v>
      </c>
      <c r="F61" s="104">
        <f>D61-E61</f>
        <v>-26608000</v>
      </c>
      <c r="G61" s="419"/>
    </row>
    <row r="62" spans="1:7" s="374" customFormat="1" ht="15" customHeight="1">
      <c r="A62" s="360"/>
      <c r="B62" s="360"/>
      <c r="C62" s="594">
        <v>4224</v>
      </c>
      <c r="D62" s="574"/>
      <c r="E62" s="574"/>
      <c r="F62" s="574"/>
      <c r="G62" s="615"/>
    </row>
    <row r="63" spans="1:7" s="368" customFormat="1" ht="15" customHeight="1">
      <c r="A63" s="348"/>
      <c r="B63" s="348"/>
      <c r="C63" s="349" t="s">
        <v>83</v>
      </c>
      <c r="D63" s="104">
        <v>185400000</v>
      </c>
      <c r="E63" s="573">
        <v>199400000</v>
      </c>
      <c r="F63" s="104">
        <f>D63-E63</f>
        <v>-14000000</v>
      </c>
      <c r="G63" s="419"/>
    </row>
    <row r="64" spans="1:7" s="374" customFormat="1" ht="15" customHeight="1">
      <c r="A64" s="375"/>
      <c r="B64" s="375"/>
      <c r="C64" s="357">
        <v>4225</v>
      </c>
      <c r="D64" s="599"/>
      <c r="E64" s="599"/>
      <c r="F64" s="599"/>
      <c r="G64" s="619"/>
    </row>
    <row r="65" spans="1:7" s="368" customFormat="1" ht="15" customHeight="1">
      <c r="A65" s="348"/>
      <c r="B65" s="348"/>
      <c r="C65" s="349" t="s">
        <v>84</v>
      </c>
      <c r="D65" s="104">
        <v>1202300000</v>
      </c>
      <c r="E65" s="573">
        <v>1668300000</v>
      </c>
      <c r="F65" s="104">
        <f>D65-E65</f>
        <v>-466000000</v>
      </c>
      <c r="G65" s="419"/>
    </row>
    <row r="66" spans="1:7" s="374" customFormat="1" ht="15" customHeight="1">
      <c r="A66" s="360"/>
      <c r="B66" s="360"/>
      <c r="C66" s="351">
        <v>4226</v>
      </c>
      <c r="D66" s="105"/>
      <c r="E66" s="574"/>
      <c r="F66" s="105"/>
      <c r="G66" s="429"/>
    </row>
    <row r="67" spans="1:7" s="368" customFormat="1" ht="15" customHeight="1">
      <c r="A67" s="348"/>
      <c r="B67" s="348"/>
      <c r="C67" s="349" t="s">
        <v>85</v>
      </c>
      <c r="D67" s="104">
        <v>2497171000</v>
      </c>
      <c r="E67" s="573">
        <v>2917171000</v>
      </c>
      <c r="F67" s="104">
        <f>D67-E67</f>
        <v>-420000000</v>
      </c>
      <c r="G67" s="419"/>
    </row>
    <row r="68" spans="1:7" s="374" customFormat="1" ht="15" customHeight="1">
      <c r="A68" s="360"/>
      <c r="B68" s="360"/>
      <c r="C68" s="351">
        <v>4227</v>
      </c>
      <c r="D68" s="105"/>
      <c r="E68" s="574"/>
      <c r="F68" s="105"/>
      <c r="G68" s="429"/>
    </row>
    <row r="69" spans="1:7" s="368" customFormat="1" ht="15" customHeight="1">
      <c r="A69" s="348"/>
      <c r="B69" s="348"/>
      <c r="C69" s="349" t="s">
        <v>49</v>
      </c>
      <c r="D69" s="104">
        <v>203200000</v>
      </c>
      <c r="E69" s="573">
        <v>218600000</v>
      </c>
      <c r="F69" s="104">
        <f>D69-E69</f>
        <v>-15400000</v>
      </c>
      <c r="G69" s="419"/>
    </row>
    <row r="70" spans="1:7" s="374" customFormat="1" ht="15" customHeight="1">
      <c r="A70" s="360"/>
      <c r="B70" s="360"/>
      <c r="C70" s="351">
        <v>4228</v>
      </c>
      <c r="D70" s="105"/>
      <c r="E70" s="574"/>
      <c r="F70" s="105"/>
      <c r="G70" s="429"/>
    </row>
    <row r="71" spans="1:7" s="368" customFormat="1" ht="15" customHeight="1">
      <c r="A71" s="348"/>
      <c r="B71" s="348"/>
      <c r="C71" s="349" t="s">
        <v>50</v>
      </c>
      <c r="D71" s="104">
        <v>256104025</v>
      </c>
      <c r="E71" s="573">
        <v>311103000</v>
      </c>
      <c r="F71" s="104">
        <f>D71-E71</f>
        <v>-54998975</v>
      </c>
      <c r="G71" s="419"/>
    </row>
    <row r="72" spans="1:7" s="374" customFormat="1" ht="15" customHeight="1">
      <c r="A72" s="360"/>
      <c r="B72" s="360"/>
      <c r="C72" s="351">
        <v>4229</v>
      </c>
      <c r="D72" s="105"/>
      <c r="E72" s="574"/>
      <c r="F72" s="105"/>
      <c r="G72" s="429"/>
    </row>
    <row r="73" spans="1:7" s="368" customFormat="1" ht="15" customHeight="1">
      <c r="A73" s="348"/>
      <c r="B73" s="352"/>
      <c r="C73" s="349" t="s">
        <v>86</v>
      </c>
      <c r="D73" s="104">
        <v>13600000</v>
      </c>
      <c r="E73" s="573">
        <v>13600000</v>
      </c>
      <c r="F73" s="104">
        <f>D73-E73</f>
        <v>0</v>
      </c>
      <c r="G73" s="419"/>
    </row>
    <row r="74" spans="1:7" s="374" customFormat="1" ht="15" customHeight="1">
      <c r="A74" s="360"/>
      <c r="B74" s="344">
        <v>4230</v>
      </c>
      <c r="C74" s="350"/>
      <c r="D74" s="376"/>
      <c r="E74" s="600"/>
      <c r="F74" s="376"/>
      <c r="G74" s="421"/>
    </row>
    <row r="75" spans="1:7" s="368" customFormat="1" ht="15" customHeight="1">
      <c r="A75" s="348"/>
      <c r="B75" s="1083" t="s">
        <v>57</v>
      </c>
      <c r="C75" s="349"/>
      <c r="D75" s="104">
        <f>SUM(D77:D89)</f>
        <v>1983976430</v>
      </c>
      <c r="E75" s="573">
        <f>SUM(E77:E89)</f>
        <v>1813488000</v>
      </c>
      <c r="F75" s="104">
        <f>D75-E75</f>
        <v>170488430</v>
      </c>
      <c r="G75" s="419"/>
    </row>
    <row r="76" spans="1:7" s="374" customFormat="1" ht="15" customHeight="1">
      <c r="A76" s="360"/>
      <c r="B76" s="1084"/>
      <c r="C76" s="351">
        <v>4231</v>
      </c>
      <c r="D76" s="105"/>
      <c r="E76" s="574"/>
      <c r="F76" s="105"/>
      <c r="G76" s="429"/>
    </row>
    <row r="77" spans="1:7" s="368" customFormat="1" ht="15" customHeight="1">
      <c r="A77" s="348"/>
      <c r="B77" s="1084"/>
      <c r="C77" s="349" t="s">
        <v>51</v>
      </c>
      <c r="D77" s="104">
        <v>320668000</v>
      </c>
      <c r="E77" s="573">
        <v>98600000</v>
      </c>
      <c r="F77" s="104">
        <f>D77-E77</f>
        <v>222068000</v>
      </c>
      <c r="G77" s="419"/>
    </row>
    <row r="78" spans="1:7" s="374" customFormat="1" ht="15" customHeight="1">
      <c r="A78" s="360"/>
      <c r="B78" s="1085"/>
      <c r="C78" s="351">
        <v>4232</v>
      </c>
      <c r="D78" s="105"/>
      <c r="E78" s="574"/>
      <c r="F78" s="105"/>
      <c r="G78" s="429"/>
    </row>
    <row r="79" spans="1:7" s="368" customFormat="1" ht="15" customHeight="1">
      <c r="A79" s="348"/>
      <c r="B79" s="1085"/>
      <c r="C79" s="349" t="s">
        <v>52</v>
      </c>
      <c r="D79" s="104">
        <v>61200000</v>
      </c>
      <c r="E79" s="573">
        <v>65200000</v>
      </c>
      <c r="F79" s="104">
        <f>D79-E79</f>
        <v>-4000000</v>
      </c>
      <c r="G79" s="419"/>
    </row>
    <row r="80" spans="1:7" s="374" customFormat="1" ht="15" customHeight="1">
      <c r="A80" s="360"/>
      <c r="B80" s="360"/>
      <c r="C80" s="351">
        <v>4233</v>
      </c>
      <c r="D80" s="105"/>
      <c r="E80" s="574"/>
      <c r="F80" s="105"/>
      <c r="G80" s="429"/>
    </row>
    <row r="81" spans="1:7" s="368" customFormat="1" ht="15" customHeight="1">
      <c r="A81" s="348"/>
      <c r="B81" s="348"/>
      <c r="C81" s="349" t="s">
        <v>317</v>
      </c>
      <c r="D81" s="104">
        <v>174260000</v>
      </c>
      <c r="E81" s="573">
        <v>194960000</v>
      </c>
      <c r="F81" s="104">
        <f>D81-E81</f>
        <v>-20700000</v>
      </c>
      <c r="G81" s="419"/>
    </row>
    <row r="82" spans="1:7" s="374" customFormat="1" ht="15" customHeight="1">
      <c r="A82" s="348"/>
      <c r="B82" s="348"/>
      <c r="C82" s="351">
        <v>4235</v>
      </c>
      <c r="D82" s="105"/>
      <c r="E82" s="574"/>
      <c r="F82" s="105"/>
      <c r="G82" s="429"/>
    </row>
    <row r="83" spans="1:7" s="368" customFormat="1" ht="15" customHeight="1">
      <c r="A83" s="348"/>
      <c r="B83" s="348"/>
      <c r="C83" s="349" t="s">
        <v>53</v>
      </c>
      <c r="D83" s="104">
        <v>172244900</v>
      </c>
      <c r="E83" s="573">
        <v>203000000</v>
      </c>
      <c r="F83" s="104">
        <f>D83-E83</f>
        <v>-30755100</v>
      </c>
      <c r="G83" s="419"/>
    </row>
    <row r="84" spans="1:7" s="374" customFormat="1" ht="15" customHeight="1">
      <c r="A84" s="348"/>
      <c r="B84" s="348"/>
      <c r="C84" s="351">
        <v>4236</v>
      </c>
      <c r="D84" s="105"/>
      <c r="E84" s="574"/>
      <c r="F84" s="105"/>
      <c r="G84" s="429"/>
    </row>
    <row r="85" spans="1:7" s="368" customFormat="1" ht="15" customHeight="1">
      <c r="A85" s="348"/>
      <c r="B85" s="348"/>
      <c r="C85" s="349" t="s">
        <v>54</v>
      </c>
      <c r="D85" s="104">
        <v>255985130</v>
      </c>
      <c r="E85" s="573">
        <v>257328000</v>
      </c>
      <c r="F85" s="104">
        <f>D85-E85</f>
        <v>-1342870</v>
      </c>
      <c r="G85" s="419"/>
    </row>
    <row r="86" spans="1:7" s="374" customFormat="1" ht="15" customHeight="1">
      <c r="A86" s="348"/>
      <c r="B86" s="348"/>
      <c r="C86" s="351">
        <v>4237</v>
      </c>
      <c r="D86" s="105"/>
      <c r="E86" s="574"/>
      <c r="F86" s="105"/>
      <c r="G86" s="429"/>
    </row>
    <row r="87" spans="1:7" s="368" customFormat="1" ht="15" customHeight="1">
      <c r="A87" s="348"/>
      <c r="B87" s="348"/>
      <c r="C87" s="349" t="s">
        <v>55</v>
      </c>
      <c r="D87" s="104">
        <v>297018400</v>
      </c>
      <c r="E87" s="573">
        <v>291800000</v>
      </c>
      <c r="F87" s="104">
        <f>D87-E87</f>
        <v>5218400</v>
      </c>
      <c r="G87" s="419"/>
    </row>
    <row r="88" spans="1:7" s="374" customFormat="1" ht="15" customHeight="1">
      <c r="A88" s="348"/>
      <c r="B88" s="348"/>
      <c r="C88" s="351">
        <v>4239</v>
      </c>
      <c r="D88" s="105"/>
      <c r="E88" s="574"/>
      <c r="F88" s="105"/>
      <c r="G88" s="429"/>
    </row>
    <row r="89" spans="1:7" s="368" customFormat="1" ht="15" customHeight="1">
      <c r="A89" s="352"/>
      <c r="B89" s="352"/>
      <c r="C89" s="349" t="s">
        <v>56</v>
      </c>
      <c r="D89" s="104">
        <v>702600000</v>
      </c>
      <c r="E89" s="573">
        <v>702600000</v>
      </c>
      <c r="F89" s="104">
        <f>D89-E89</f>
        <v>0</v>
      </c>
      <c r="G89" s="419"/>
    </row>
    <row r="90" spans="1:7" s="374" customFormat="1" ht="15" customHeight="1">
      <c r="A90" s="344">
        <v>4300</v>
      </c>
      <c r="B90" s="344"/>
      <c r="C90" s="351"/>
      <c r="D90" s="105"/>
      <c r="E90" s="574"/>
      <c r="F90" s="105"/>
      <c r="G90" s="429"/>
    </row>
    <row r="91" spans="1:7" s="368" customFormat="1" ht="15" customHeight="1">
      <c r="A91" s="355" t="s">
        <v>58</v>
      </c>
      <c r="B91" s="407"/>
      <c r="C91" s="349"/>
      <c r="D91" s="104">
        <f>SUM(D93+D97)</f>
        <v>39758593750</v>
      </c>
      <c r="E91" s="573">
        <f>SUM(E93+E97)</f>
        <v>39312899020</v>
      </c>
      <c r="F91" s="104">
        <f>D91-E91</f>
        <v>445694730</v>
      </c>
      <c r="G91" s="419"/>
    </row>
    <row r="92" spans="1:7" s="374" customFormat="1" ht="15" customHeight="1">
      <c r="A92" s="591"/>
      <c r="B92" s="590">
        <v>4310</v>
      </c>
      <c r="C92" s="594"/>
      <c r="D92" s="574"/>
      <c r="E92" s="574"/>
      <c r="F92" s="574"/>
      <c r="G92" s="615"/>
    </row>
    <row r="93" spans="1:7" s="368" customFormat="1" ht="15" customHeight="1">
      <c r="A93" s="348"/>
      <c r="B93" s="696" t="s">
        <v>59</v>
      </c>
      <c r="C93" s="349"/>
      <c r="D93" s="104">
        <f>SUM(D95)</f>
        <v>6631094810</v>
      </c>
      <c r="E93" s="573">
        <f>SUM(E95)</f>
        <v>6362245220</v>
      </c>
      <c r="F93" s="104">
        <f>D93-E93</f>
        <v>268849590</v>
      </c>
      <c r="G93" s="419"/>
    </row>
    <row r="94" spans="1:7" s="374" customFormat="1" ht="15" customHeight="1">
      <c r="A94" s="591"/>
      <c r="B94" s="591"/>
      <c r="C94" s="594">
        <v>4311</v>
      </c>
      <c r="D94" s="574"/>
      <c r="E94" s="574"/>
      <c r="F94" s="574"/>
      <c r="G94" s="615"/>
    </row>
    <row r="95" spans="1:7" s="368" customFormat="1" ht="15" customHeight="1">
      <c r="A95" s="348"/>
      <c r="B95" s="352"/>
      <c r="C95" s="349" t="s">
        <v>59</v>
      </c>
      <c r="D95" s="104">
        <v>6631094810</v>
      </c>
      <c r="E95" s="573">
        <v>6362245220</v>
      </c>
      <c r="F95" s="104">
        <f>D95-E95</f>
        <v>268849590</v>
      </c>
      <c r="G95" s="446"/>
    </row>
    <row r="96" spans="1:7" s="374" customFormat="1" ht="15" customHeight="1">
      <c r="A96" s="352"/>
      <c r="B96" s="377">
        <v>4320</v>
      </c>
      <c r="C96" s="357"/>
      <c r="D96" s="599"/>
      <c r="E96" s="599"/>
      <c r="F96" s="599"/>
      <c r="G96" s="829"/>
    </row>
    <row r="97" spans="1:7" s="368" customFormat="1" ht="15" customHeight="1">
      <c r="A97" s="348"/>
      <c r="B97" s="1083" t="s">
        <v>60</v>
      </c>
      <c r="C97" s="349"/>
      <c r="D97" s="104">
        <f>SUM(D98:D105)</f>
        <v>33127498940</v>
      </c>
      <c r="E97" s="573">
        <f>SUM(E98:E105)</f>
        <v>32950653800</v>
      </c>
      <c r="F97" s="104">
        <f>D97-E97</f>
        <v>176845140</v>
      </c>
      <c r="G97" s="419"/>
    </row>
    <row r="98" spans="1:7" s="374" customFormat="1" ht="15" customHeight="1">
      <c r="A98" s="348"/>
      <c r="B98" s="1084"/>
      <c r="C98" s="351">
        <v>4322</v>
      </c>
      <c r="D98" s="105"/>
      <c r="E98" s="574"/>
      <c r="F98" s="105"/>
      <c r="G98" s="429"/>
    </row>
    <row r="99" spans="1:7" s="368" customFormat="1" ht="15" customHeight="1">
      <c r="A99" s="348"/>
      <c r="B99" s="1084"/>
      <c r="C99" s="349" t="s">
        <v>102</v>
      </c>
      <c r="D99" s="104">
        <v>25381441532</v>
      </c>
      <c r="E99" s="573">
        <v>24501319940</v>
      </c>
      <c r="F99" s="104">
        <f>D99-E99</f>
        <v>880121592</v>
      </c>
      <c r="G99" s="447"/>
    </row>
    <row r="100" spans="1:7" s="374" customFormat="1" ht="15" customHeight="1">
      <c r="A100" s="348"/>
      <c r="B100" s="1084"/>
      <c r="C100" s="351">
        <v>4323</v>
      </c>
      <c r="D100" s="105"/>
      <c r="E100" s="574"/>
      <c r="F100" s="105"/>
      <c r="G100" s="448"/>
    </row>
    <row r="101" spans="1:7" s="368" customFormat="1" ht="15" customHeight="1">
      <c r="A101" s="348"/>
      <c r="B101" s="1084"/>
      <c r="C101" s="349" t="s">
        <v>131</v>
      </c>
      <c r="D101" s="104">
        <v>1574075881</v>
      </c>
      <c r="E101" s="573">
        <v>2025028260</v>
      </c>
      <c r="F101" s="104">
        <f>D101-E101</f>
        <v>-450952379</v>
      </c>
      <c r="G101" s="419"/>
    </row>
    <row r="102" spans="1:7" s="374" customFormat="1" ht="15" customHeight="1">
      <c r="A102" s="348"/>
      <c r="B102" s="1084"/>
      <c r="C102" s="351">
        <v>4325</v>
      </c>
      <c r="D102" s="105"/>
      <c r="E102" s="574"/>
      <c r="F102" s="105"/>
      <c r="G102" s="429"/>
    </row>
    <row r="103" spans="1:7" s="368" customFormat="1" ht="15" customHeight="1">
      <c r="A103" s="348"/>
      <c r="B103" s="1085"/>
      <c r="C103" s="349" t="s">
        <v>62</v>
      </c>
      <c r="D103" s="104">
        <v>4199246518</v>
      </c>
      <c r="E103" s="573">
        <v>4461653600</v>
      </c>
      <c r="F103" s="104">
        <f>D103-E103</f>
        <v>-262407082</v>
      </c>
      <c r="G103" s="419"/>
    </row>
    <row r="104" spans="1:7" s="374" customFormat="1" ht="15" customHeight="1">
      <c r="A104" s="360"/>
      <c r="B104" s="360"/>
      <c r="C104" s="351">
        <v>4329</v>
      </c>
      <c r="D104" s="105"/>
      <c r="E104" s="574"/>
      <c r="F104" s="105"/>
      <c r="G104" s="429"/>
    </row>
    <row r="105" spans="1:7" s="368" customFormat="1" ht="15" customHeight="1">
      <c r="A105" s="348"/>
      <c r="B105" s="352"/>
      <c r="C105" s="349" t="s">
        <v>63</v>
      </c>
      <c r="D105" s="104">
        <v>1972735009</v>
      </c>
      <c r="E105" s="573">
        <v>1962652000</v>
      </c>
      <c r="F105" s="104">
        <f>D105-E105</f>
        <v>10083009</v>
      </c>
      <c r="G105" s="419"/>
    </row>
    <row r="106" spans="1:7" s="374" customFormat="1" ht="15" customHeight="1">
      <c r="A106" s="344">
        <v>4400</v>
      </c>
      <c r="B106" s="344"/>
      <c r="C106" s="351"/>
      <c r="D106" s="383"/>
      <c r="E106" s="602"/>
      <c r="F106" s="383"/>
      <c r="G106" s="429"/>
    </row>
    <row r="107" spans="1:7" s="368" customFormat="1" ht="15" customHeight="1">
      <c r="A107" s="355" t="s">
        <v>90</v>
      </c>
      <c r="B107" s="406"/>
      <c r="C107" s="349"/>
      <c r="D107" s="329">
        <f>SUM(D109)</f>
        <v>210000000</v>
      </c>
      <c r="E107" s="585">
        <f>SUM(E109)</f>
        <v>200000000</v>
      </c>
      <c r="F107" s="329">
        <f>D107-E107</f>
        <v>10000000</v>
      </c>
      <c r="G107" s="419"/>
    </row>
    <row r="108" spans="1:7" s="374" customFormat="1" ht="15" customHeight="1">
      <c r="A108" s="348"/>
      <c r="B108" s="344">
        <v>4420</v>
      </c>
      <c r="C108" s="351"/>
      <c r="D108" s="383"/>
      <c r="E108" s="602"/>
      <c r="F108" s="383"/>
      <c r="G108" s="443"/>
    </row>
    <row r="109" spans="1:7" s="368" customFormat="1" ht="15" customHeight="1">
      <c r="A109" s="348"/>
      <c r="B109" s="355" t="s">
        <v>66</v>
      </c>
      <c r="C109" s="349"/>
      <c r="D109" s="104">
        <f>SUM(D111:D111)</f>
        <v>210000000</v>
      </c>
      <c r="E109" s="573">
        <f>SUM(E111:E111)</f>
        <v>200000000</v>
      </c>
      <c r="F109" s="104">
        <f>D109-E109</f>
        <v>10000000</v>
      </c>
      <c r="G109" s="419"/>
    </row>
    <row r="110" spans="1:7" s="374" customFormat="1" ht="15" customHeight="1">
      <c r="A110" s="591"/>
      <c r="B110" s="591"/>
      <c r="C110" s="594">
        <v>4421</v>
      </c>
      <c r="D110" s="574"/>
      <c r="E110" s="574"/>
      <c r="F110" s="574"/>
      <c r="G110" s="615"/>
    </row>
    <row r="111" spans="1:7" s="368" customFormat="1" ht="15" customHeight="1">
      <c r="A111" s="352"/>
      <c r="B111" s="352"/>
      <c r="C111" s="592" t="s">
        <v>67</v>
      </c>
      <c r="D111" s="573">
        <v>210000000</v>
      </c>
      <c r="E111" s="573">
        <v>200000000</v>
      </c>
      <c r="F111" s="573">
        <f>D111-E111</f>
        <v>10000000</v>
      </c>
      <c r="G111" s="606"/>
    </row>
    <row r="112" spans="1:7" s="374" customFormat="1" ht="15" customHeight="1">
      <c r="A112" s="590">
        <v>4600</v>
      </c>
      <c r="B112" s="590"/>
      <c r="C112" s="594"/>
      <c r="D112" s="602"/>
      <c r="E112" s="602"/>
      <c r="F112" s="602"/>
      <c r="G112" s="615"/>
    </row>
    <row r="113" spans="1:7" s="368" customFormat="1" ht="15" customHeight="1">
      <c r="A113" s="1079" t="s">
        <v>70</v>
      </c>
      <c r="B113" s="407"/>
      <c r="C113" s="349"/>
      <c r="D113" s="329">
        <f>D115</f>
        <v>0</v>
      </c>
      <c r="E113" s="585">
        <f>E115</f>
        <v>800000000</v>
      </c>
      <c r="F113" s="329">
        <f>D113-E113</f>
        <v>-800000000</v>
      </c>
      <c r="G113" s="419"/>
    </row>
    <row r="114" spans="1:7" s="374" customFormat="1" ht="15" customHeight="1">
      <c r="A114" s="1079"/>
      <c r="B114" s="344">
        <v>4610</v>
      </c>
      <c r="C114" s="351"/>
      <c r="D114" s="383"/>
      <c r="E114" s="602"/>
      <c r="F114" s="383"/>
      <c r="G114" s="429"/>
    </row>
    <row r="115" spans="1:7" s="368" customFormat="1" ht="15" customHeight="1">
      <c r="A115" s="348"/>
      <c r="B115" s="406" t="s">
        <v>71</v>
      </c>
      <c r="C115" s="349"/>
      <c r="D115" s="104">
        <f>D117</f>
        <v>0</v>
      </c>
      <c r="E115" s="573">
        <f>E117</f>
        <v>800000000</v>
      </c>
      <c r="F115" s="104">
        <f>D115-E115</f>
        <v>-800000000</v>
      </c>
      <c r="G115" s="419"/>
    </row>
    <row r="116" spans="1:7" s="374" customFormat="1" ht="15" customHeight="1">
      <c r="A116" s="360"/>
      <c r="B116" s="360"/>
      <c r="C116" s="351">
        <v>4611</v>
      </c>
      <c r="D116" s="105"/>
      <c r="E116" s="574"/>
      <c r="F116" s="105"/>
      <c r="G116" s="429"/>
    </row>
    <row r="117" spans="1:7" s="368" customFormat="1" ht="15" customHeight="1">
      <c r="A117" s="352"/>
      <c r="B117" s="352"/>
      <c r="C117" s="349" t="s">
        <v>71</v>
      </c>
      <c r="D117" s="329">
        <v>0</v>
      </c>
      <c r="E117" s="585">
        <v>800000000</v>
      </c>
      <c r="F117" s="329">
        <f>D117-E117</f>
        <v>-800000000</v>
      </c>
      <c r="G117" s="449"/>
    </row>
    <row r="118" spans="1:7" s="374" customFormat="1" ht="15" customHeight="1">
      <c r="A118" s="344">
        <v>1300</v>
      </c>
      <c r="B118" s="344"/>
      <c r="C118" s="351"/>
      <c r="D118" s="326"/>
      <c r="E118" s="583"/>
      <c r="F118" s="326"/>
      <c r="G118" s="429"/>
    </row>
    <row r="119" spans="1:7" s="368" customFormat="1" ht="15" customHeight="1">
      <c r="A119" s="406" t="s">
        <v>744</v>
      </c>
      <c r="B119" s="407"/>
      <c r="C119" s="349"/>
      <c r="D119" s="104">
        <f>SUM(D121)</f>
        <v>5189347845</v>
      </c>
      <c r="E119" s="573">
        <f>SUM(E121)</f>
        <v>5696446640</v>
      </c>
      <c r="F119" s="104">
        <f>D119-E119</f>
        <v>-507098795</v>
      </c>
      <c r="G119" s="419"/>
    </row>
    <row r="120" spans="1:7" s="374" customFormat="1" ht="15" customHeight="1">
      <c r="A120" s="406" t="s">
        <v>742</v>
      </c>
      <c r="B120" s="360">
        <v>1310</v>
      </c>
      <c r="C120" s="351"/>
      <c r="D120" s="105"/>
      <c r="E120" s="574"/>
      <c r="F120" s="105"/>
      <c r="G120" s="429"/>
    </row>
    <row r="121" spans="1:7" s="368" customFormat="1" ht="15" customHeight="1">
      <c r="A121" s="406"/>
      <c r="B121" s="406" t="s">
        <v>743</v>
      </c>
      <c r="C121" s="349"/>
      <c r="D121" s="104">
        <f>SUM(D122:D127)</f>
        <v>5189347845</v>
      </c>
      <c r="E121" s="573">
        <f>SUM(E122:E127)</f>
        <v>5696446640</v>
      </c>
      <c r="F121" s="104">
        <f>D121-E121</f>
        <v>-507098795</v>
      </c>
      <c r="G121" s="419"/>
    </row>
    <row r="122" spans="1:7" s="374" customFormat="1" ht="15" customHeight="1">
      <c r="A122" s="360"/>
      <c r="B122" s="360"/>
      <c r="C122" s="351">
        <v>1314</v>
      </c>
      <c r="D122" s="105"/>
      <c r="E122" s="574"/>
      <c r="F122" s="105"/>
      <c r="G122" s="429"/>
    </row>
    <row r="123" spans="1:7" s="368" customFormat="1" ht="15" customHeight="1">
      <c r="A123" s="348"/>
      <c r="B123" s="348"/>
      <c r="C123" s="349" t="s">
        <v>72</v>
      </c>
      <c r="D123" s="104">
        <v>1671642152</v>
      </c>
      <c r="E123" s="573">
        <v>2122482640</v>
      </c>
      <c r="F123" s="104">
        <f>D123-E123</f>
        <v>-450840488</v>
      </c>
      <c r="G123" s="419"/>
    </row>
    <row r="124" spans="1:7" s="374" customFormat="1" ht="15" customHeight="1">
      <c r="A124" s="360"/>
      <c r="B124" s="360"/>
      <c r="C124" s="594">
        <v>1315</v>
      </c>
      <c r="D124" s="574"/>
      <c r="E124" s="574"/>
      <c r="F124" s="574"/>
      <c r="G124" s="615"/>
    </row>
    <row r="125" spans="1:7" s="368" customFormat="1" ht="15" customHeight="1">
      <c r="A125" s="348"/>
      <c r="B125" s="348"/>
      <c r="C125" s="349" t="s">
        <v>135</v>
      </c>
      <c r="D125" s="104">
        <v>1256063693</v>
      </c>
      <c r="E125" s="573">
        <v>1402322000</v>
      </c>
      <c r="F125" s="104">
        <f>D125-E125</f>
        <v>-146258307</v>
      </c>
      <c r="G125" s="419"/>
    </row>
    <row r="126" spans="1:7" s="374" customFormat="1" ht="15" customHeight="1">
      <c r="A126" s="360"/>
      <c r="B126" s="360"/>
      <c r="C126" s="351">
        <v>1317</v>
      </c>
      <c r="D126" s="105"/>
      <c r="E126" s="574"/>
      <c r="F126" s="105"/>
      <c r="G126" s="429"/>
    </row>
    <row r="127" spans="1:7" s="368" customFormat="1" ht="15" customHeight="1">
      <c r="A127" s="348"/>
      <c r="B127" s="348"/>
      <c r="C127" s="349" t="s">
        <v>136</v>
      </c>
      <c r="D127" s="104">
        <v>2261642000</v>
      </c>
      <c r="E127" s="573">
        <v>2171642000</v>
      </c>
      <c r="F127" s="104">
        <f>D127-E127</f>
        <v>90000000</v>
      </c>
      <c r="G127" s="419"/>
    </row>
    <row r="128" spans="1:7" s="368" customFormat="1" ht="21" customHeight="1">
      <c r="A128" s="1076" t="s">
        <v>11</v>
      </c>
      <c r="B128" s="1076"/>
      <c r="C128" s="1076"/>
      <c r="D128" s="333">
        <f>D7+D39+D91+D107+D113+D119</f>
        <v>144413508300</v>
      </c>
      <c r="E128" s="333">
        <f>E7+E39+E91+E107+E113+E119</f>
        <v>146465310000</v>
      </c>
      <c r="F128" s="333">
        <f>D128-E128</f>
        <v>-2051801700</v>
      </c>
      <c r="G128" s="432"/>
    </row>
  </sheetData>
  <mergeCells count="11">
    <mergeCell ref="A128:C128"/>
    <mergeCell ref="B75:B79"/>
    <mergeCell ref="B97:B103"/>
    <mergeCell ref="A113:A114"/>
    <mergeCell ref="B51:B53"/>
    <mergeCell ref="B9:B20"/>
    <mergeCell ref="A1:G1"/>
    <mergeCell ref="A2:G2"/>
    <mergeCell ref="A3:G3"/>
    <mergeCell ref="A4:C4"/>
    <mergeCell ref="G4:G5"/>
  </mergeCells>
  <printOptions/>
  <pageMargins left="0.6299212598425197" right="0.2755905511811024" top="0.9448818897637796" bottom="0.5905511811023623" header="0.5118110236220472" footer="0.2755905511811024"/>
  <pageSetup horizontalDpi="600" verticalDpi="600" orientation="landscape" paperSize="9" scale="90" r:id="rId2"/>
  <headerFooter alignWithMargins="0">
    <oddHeader>&amp;L&amp;"굴림체,보통"&amp;8&lt;별지 제2호 서식&gt;</oddHeader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I38" sqref="I38"/>
    </sheetView>
  </sheetViews>
  <sheetFormatPr defaultColWidth="9.00390625" defaultRowHeight="14.25"/>
  <cols>
    <col min="1" max="16384" width="9.00390625" style="3" customWidth="1"/>
  </cols>
  <sheetData>
    <row r="9" ht="49.5" customHeight="1"/>
    <row r="10" spans="1:91" ht="51" customHeight="1">
      <c r="A10" s="990" t="s">
        <v>776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</sheetData>
  <mergeCells count="1">
    <mergeCell ref="A10:M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3"/>
  <sheetViews>
    <sheetView workbookViewId="0" topLeftCell="A1">
      <selection activeCell="A11" sqref="A11"/>
    </sheetView>
  </sheetViews>
  <sheetFormatPr defaultColWidth="9.00390625" defaultRowHeight="14.25"/>
  <cols>
    <col min="1" max="11" width="9.00390625" style="70" customWidth="1"/>
    <col min="12" max="12" width="7.50390625" style="70" customWidth="1"/>
    <col min="13" max="13" width="6.625" style="70" customWidth="1"/>
    <col min="14" max="15" width="9.00390625" style="70" customWidth="1"/>
    <col min="16" max="16" width="4.75390625" style="70" customWidth="1"/>
    <col min="17" max="16384" width="9.00390625" style="70" customWidth="1"/>
  </cols>
  <sheetData>
    <row r="4" ht="12.75" customHeight="1"/>
    <row r="5" ht="14.25" hidden="1"/>
    <row r="6" spans="12:13" ht="24.75" customHeight="1">
      <c r="L6" s="987"/>
      <c r="M6" s="987"/>
    </row>
    <row r="7" spans="12:13" ht="18.75" customHeight="1">
      <c r="L7" s="987"/>
      <c r="M7" s="987"/>
    </row>
    <row r="10" spans="1:13" ht="48" customHeight="1">
      <c r="A10" s="981" t="s">
        <v>1654</v>
      </c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</row>
    <row r="22" spans="1:13" ht="30.75" customHeight="1">
      <c r="A22" s="982" t="s">
        <v>310</v>
      </c>
      <c r="B22" s="982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</row>
    <row r="23" spans="1:13" ht="31.5">
      <c r="A23" s="982" t="s">
        <v>311</v>
      </c>
      <c r="B23" s="982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</row>
  </sheetData>
  <mergeCells count="4">
    <mergeCell ref="A10:M10"/>
    <mergeCell ref="A22:M22"/>
    <mergeCell ref="A23:M23"/>
    <mergeCell ref="L6:M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 topLeftCell="A1">
      <pane ySplit="5" topLeftCell="A51" activePane="bottomLeft" state="frozen"/>
      <selection pane="bottomLeft" activeCell="D77" sqref="D77"/>
    </sheetView>
  </sheetViews>
  <sheetFormatPr defaultColWidth="9.00390625" defaultRowHeight="27" customHeight="1"/>
  <cols>
    <col min="1" max="1" width="20.25390625" style="69" customWidth="1"/>
    <col min="2" max="2" width="19.25390625" style="10" customWidth="1"/>
    <col min="3" max="3" width="20.25390625" style="10" customWidth="1"/>
    <col min="4" max="4" width="23.375" style="10" customWidth="1"/>
    <col min="5" max="5" width="21.125" style="10" customWidth="1"/>
    <col min="6" max="6" width="19.25390625" style="10" customWidth="1"/>
    <col min="7" max="7" width="15.00390625" style="10" customWidth="1"/>
    <col min="8" max="16384" width="9.00390625" style="10" customWidth="1"/>
  </cols>
  <sheetData>
    <row r="1" spans="1:7" s="9" customFormat="1" ht="34.5" customHeight="1">
      <c r="A1" s="993" t="s">
        <v>774</v>
      </c>
      <c r="B1" s="994"/>
      <c r="C1" s="994"/>
      <c r="D1" s="994"/>
      <c r="E1" s="994"/>
      <c r="F1" s="994"/>
      <c r="G1" s="994"/>
    </row>
    <row r="2" spans="1:7" s="9" customFormat="1" ht="20.25" customHeight="1">
      <c r="A2" s="995" t="s">
        <v>731</v>
      </c>
      <c r="B2" s="995"/>
      <c r="C2" s="995"/>
      <c r="D2" s="995"/>
      <c r="E2" s="995"/>
      <c r="F2" s="995"/>
      <c r="G2" s="995"/>
    </row>
    <row r="3" spans="1:7" ht="36" customHeight="1">
      <c r="A3" s="996" t="s">
        <v>110</v>
      </c>
      <c r="B3" s="997"/>
      <c r="C3" s="997"/>
      <c r="D3" s="997"/>
      <c r="E3" s="997"/>
      <c r="F3" s="997"/>
      <c r="G3" s="998"/>
    </row>
    <row r="4" spans="1:7" s="1" customFormat="1" ht="17.25" customHeight="1">
      <c r="A4" s="992" t="s">
        <v>111</v>
      </c>
      <c r="B4" s="992"/>
      <c r="C4" s="992"/>
      <c r="D4" s="570" t="s">
        <v>1012</v>
      </c>
      <c r="E4" s="570" t="s">
        <v>1012</v>
      </c>
      <c r="F4" s="570" t="s">
        <v>1013</v>
      </c>
      <c r="G4" s="992" t="s">
        <v>735</v>
      </c>
    </row>
    <row r="5" spans="1:7" s="2" customFormat="1" ht="18" customHeight="1">
      <c r="A5" s="11" t="s">
        <v>112</v>
      </c>
      <c r="B5" s="11" t="s">
        <v>113</v>
      </c>
      <c r="C5" s="11" t="s">
        <v>114</v>
      </c>
      <c r="D5" s="571" t="s">
        <v>1014</v>
      </c>
      <c r="E5" s="571" t="s">
        <v>1015</v>
      </c>
      <c r="F5" s="571" t="s">
        <v>947</v>
      </c>
      <c r="G5" s="992"/>
    </row>
    <row r="6" spans="1:7" s="311" customFormat="1" ht="15" customHeight="1">
      <c r="A6" s="334">
        <v>5100</v>
      </c>
      <c r="B6" s="335"/>
      <c r="C6" s="335"/>
      <c r="D6" s="413"/>
      <c r="E6" s="413"/>
      <c r="F6" s="310"/>
      <c r="G6" s="310"/>
    </row>
    <row r="7" spans="1:7" s="312" customFormat="1" ht="15" customHeight="1">
      <c r="A7" s="354" t="s">
        <v>115</v>
      </c>
      <c r="B7" s="336"/>
      <c r="C7" s="336"/>
      <c r="D7" s="414">
        <f>D9</f>
        <v>5277293000</v>
      </c>
      <c r="E7" s="414">
        <f>E9</f>
        <v>4590131000</v>
      </c>
      <c r="F7" s="318">
        <f>D7-E7</f>
        <v>687162000</v>
      </c>
      <c r="G7" s="317" t="s">
        <v>96</v>
      </c>
    </row>
    <row r="8" spans="1:7" s="312" customFormat="1" ht="15" customHeight="1">
      <c r="A8" s="348"/>
      <c r="B8" s="341" t="s">
        <v>119</v>
      </c>
      <c r="C8" s="342"/>
      <c r="D8" s="415"/>
      <c r="E8" s="415"/>
      <c r="F8" s="314"/>
      <c r="G8" s="320"/>
    </row>
    <row r="9" spans="1:7" s="312" customFormat="1" ht="15" customHeight="1">
      <c r="A9" s="348"/>
      <c r="B9" s="346" t="s">
        <v>164</v>
      </c>
      <c r="C9" s="340"/>
      <c r="D9" s="414">
        <f>D11</f>
        <v>5277293000</v>
      </c>
      <c r="E9" s="414">
        <f>E11</f>
        <v>4590131000</v>
      </c>
      <c r="F9" s="104">
        <f>D9-E9</f>
        <v>687162000</v>
      </c>
      <c r="G9" s="104"/>
    </row>
    <row r="10" spans="1:7" s="313" customFormat="1" ht="15" customHeight="1">
      <c r="A10" s="348"/>
      <c r="B10" s="365"/>
      <c r="C10" s="339" t="s">
        <v>732</v>
      </c>
      <c r="D10" s="417"/>
      <c r="E10" s="417"/>
      <c r="F10" s="105"/>
      <c r="G10" s="105"/>
    </row>
    <row r="11" spans="1:7" s="312" customFormat="1" ht="15" customHeight="1">
      <c r="A11" s="352"/>
      <c r="B11" s="392"/>
      <c r="C11" s="340" t="s">
        <v>120</v>
      </c>
      <c r="D11" s="414">
        <v>5277293000</v>
      </c>
      <c r="E11" s="414">
        <v>4590131000</v>
      </c>
      <c r="F11" s="104">
        <f>D11-E11</f>
        <v>687162000</v>
      </c>
      <c r="G11" s="104"/>
    </row>
    <row r="12" spans="1:7" s="312" customFormat="1" ht="15" customHeight="1">
      <c r="A12" s="344">
        <v>5200</v>
      </c>
      <c r="B12" s="338"/>
      <c r="C12" s="342"/>
      <c r="D12" s="415"/>
      <c r="E12" s="415"/>
      <c r="F12" s="314"/>
      <c r="G12" s="314"/>
    </row>
    <row r="13" spans="1:7" s="312" customFormat="1" ht="15" customHeight="1">
      <c r="A13" s="489" t="s">
        <v>17</v>
      </c>
      <c r="B13" s="343"/>
      <c r="C13" s="340"/>
      <c r="D13" s="414">
        <f>D15+D23+D27+D35</f>
        <v>53926668794</v>
      </c>
      <c r="E13" s="414">
        <f>E15+E23+E27+E35</f>
        <v>42702758928</v>
      </c>
      <c r="F13" s="104">
        <f>D13-E13</f>
        <v>11223909866</v>
      </c>
      <c r="G13" s="104"/>
    </row>
    <row r="14" spans="1:7" s="312" customFormat="1" ht="15" customHeight="1">
      <c r="A14" s="391"/>
      <c r="B14" s="345" t="s">
        <v>93</v>
      </c>
      <c r="C14" s="342"/>
      <c r="D14" s="415"/>
      <c r="E14" s="415"/>
      <c r="F14" s="314"/>
      <c r="G14" s="314"/>
    </row>
    <row r="15" spans="1:9" s="312" customFormat="1" ht="15" customHeight="1">
      <c r="A15" s="391"/>
      <c r="B15" s="346" t="s">
        <v>105</v>
      </c>
      <c r="C15" s="347"/>
      <c r="D15" s="414">
        <f>D17+D19+D21</f>
        <v>10948067140</v>
      </c>
      <c r="E15" s="414">
        <f>E17+E19+E21</f>
        <v>5263396050</v>
      </c>
      <c r="F15" s="104">
        <f>D15-E15</f>
        <v>5684671090</v>
      </c>
      <c r="G15" s="104"/>
      <c r="I15" s="315"/>
    </row>
    <row r="16" spans="1:9" s="312" customFormat="1" ht="15" customHeight="1">
      <c r="A16" s="391"/>
      <c r="B16" s="365"/>
      <c r="C16" s="339" t="s">
        <v>280</v>
      </c>
      <c r="D16" s="416"/>
      <c r="E16" s="416"/>
      <c r="F16" s="323"/>
      <c r="G16" s="323"/>
      <c r="I16" s="315"/>
    </row>
    <row r="17" spans="1:9" s="312" customFormat="1" ht="15" customHeight="1">
      <c r="A17" s="391"/>
      <c r="B17" s="365"/>
      <c r="C17" s="340" t="s">
        <v>281</v>
      </c>
      <c r="D17" s="414">
        <v>4485788000</v>
      </c>
      <c r="E17" s="414">
        <v>53000000</v>
      </c>
      <c r="F17" s="104">
        <f>D17-E17</f>
        <v>4432788000</v>
      </c>
      <c r="G17" s="104"/>
      <c r="I17" s="315"/>
    </row>
    <row r="18" spans="1:7" s="311" customFormat="1" ht="15" customHeight="1">
      <c r="A18" s="391"/>
      <c r="B18" s="365"/>
      <c r="C18" s="334">
        <v>5212</v>
      </c>
      <c r="D18" s="418"/>
      <c r="E18" s="605"/>
      <c r="F18" s="335"/>
      <c r="G18" s="335"/>
    </row>
    <row r="19" spans="1:9" s="312" customFormat="1" ht="15" customHeight="1">
      <c r="A19" s="391"/>
      <c r="B19" s="365"/>
      <c r="C19" s="349" t="s">
        <v>121</v>
      </c>
      <c r="D19" s="419">
        <v>3832958000</v>
      </c>
      <c r="E19" s="606">
        <v>4047000000</v>
      </c>
      <c r="F19" s="104">
        <f>D19-E19</f>
        <v>-214042000</v>
      </c>
      <c r="G19" s="104"/>
      <c r="I19" s="315"/>
    </row>
    <row r="20" spans="1:9" s="312" customFormat="1" ht="15" customHeight="1">
      <c r="A20" s="391"/>
      <c r="B20" s="365"/>
      <c r="C20" s="350">
        <v>5216</v>
      </c>
      <c r="D20" s="420"/>
      <c r="E20" s="607"/>
      <c r="F20" s="323"/>
      <c r="G20" s="323"/>
      <c r="I20" s="315"/>
    </row>
    <row r="21" spans="1:9" s="312" customFormat="1" ht="15" customHeight="1">
      <c r="A21" s="391"/>
      <c r="B21" s="365"/>
      <c r="C21" s="349" t="s">
        <v>733</v>
      </c>
      <c r="D21" s="419">
        <v>2629321140</v>
      </c>
      <c r="E21" s="606">
        <v>1163396050</v>
      </c>
      <c r="F21" s="104">
        <f>D21-E21</f>
        <v>1465925090</v>
      </c>
      <c r="G21" s="104"/>
      <c r="I21" s="315"/>
    </row>
    <row r="22" spans="1:9" s="312" customFormat="1" ht="15" customHeight="1">
      <c r="A22" s="348"/>
      <c r="B22" s="590">
        <v>5220</v>
      </c>
      <c r="C22" s="355"/>
      <c r="D22" s="420"/>
      <c r="E22" s="607"/>
      <c r="F22" s="323"/>
      <c r="G22" s="323"/>
      <c r="I22" s="315"/>
    </row>
    <row r="23" spans="1:9" s="312" customFormat="1" ht="15" customHeight="1">
      <c r="A23" s="348"/>
      <c r="B23" s="354" t="s">
        <v>745</v>
      </c>
      <c r="C23" s="355"/>
      <c r="D23" s="420">
        <f>D25</f>
        <v>17246619068</v>
      </c>
      <c r="E23" s="607">
        <f>E25</f>
        <v>18546619068</v>
      </c>
      <c r="F23" s="323">
        <f>D23-E23</f>
        <v>-1300000000</v>
      </c>
      <c r="G23" s="323"/>
      <c r="I23" s="315"/>
    </row>
    <row r="24" spans="1:9" s="312" customFormat="1" ht="15" customHeight="1">
      <c r="A24" s="348"/>
      <c r="B24" s="348"/>
      <c r="C24" s="351">
        <v>5222</v>
      </c>
      <c r="D24" s="422"/>
      <c r="E24" s="609"/>
      <c r="F24" s="314"/>
      <c r="G24" s="314"/>
      <c r="I24" s="315"/>
    </row>
    <row r="25" spans="1:9" s="312" customFormat="1" ht="15" customHeight="1">
      <c r="A25" s="348"/>
      <c r="B25" s="348"/>
      <c r="C25" s="355" t="s">
        <v>746</v>
      </c>
      <c r="D25" s="420">
        <v>17246619068</v>
      </c>
      <c r="E25" s="607">
        <v>18546619068</v>
      </c>
      <c r="F25" s="323">
        <f>D25-E25</f>
        <v>-1300000000</v>
      </c>
      <c r="G25" s="323"/>
      <c r="I25" s="315"/>
    </row>
    <row r="26" spans="1:7" s="312" customFormat="1" ht="15" customHeight="1">
      <c r="A26" s="348"/>
      <c r="B26" s="344">
        <v>5230</v>
      </c>
      <c r="C26" s="353"/>
      <c r="D26" s="423"/>
      <c r="E26" s="610"/>
      <c r="F26" s="314"/>
      <c r="G26" s="314"/>
    </row>
    <row r="27" spans="1:7" s="312" customFormat="1" ht="15" customHeight="1">
      <c r="A27" s="348"/>
      <c r="B27" s="354" t="s">
        <v>170</v>
      </c>
      <c r="C27" s="349"/>
      <c r="D27" s="419">
        <f>D29+D31+D33</f>
        <v>22327197916</v>
      </c>
      <c r="E27" s="606">
        <f>E29+E31+E33</f>
        <v>17163643810</v>
      </c>
      <c r="F27" s="104">
        <f>D27-E27</f>
        <v>5163554106</v>
      </c>
      <c r="G27" s="104"/>
    </row>
    <row r="28" spans="1:7" s="312" customFormat="1" ht="15" customHeight="1">
      <c r="A28" s="348"/>
      <c r="B28" s="348"/>
      <c r="C28" s="351">
        <v>5231</v>
      </c>
      <c r="D28" s="422"/>
      <c r="E28" s="609"/>
      <c r="F28" s="314"/>
      <c r="G28" s="314"/>
    </row>
    <row r="29" spans="1:7" s="312" customFormat="1" ht="15" customHeight="1">
      <c r="A29" s="348"/>
      <c r="B29" s="348"/>
      <c r="C29" s="349" t="s">
        <v>764</v>
      </c>
      <c r="D29" s="424">
        <v>19320753560</v>
      </c>
      <c r="E29" s="611">
        <v>14129786000</v>
      </c>
      <c r="F29" s="325">
        <f>D29-E29</f>
        <v>5190967560</v>
      </c>
      <c r="G29" s="104"/>
    </row>
    <row r="30" spans="1:7" s="312" customFormat="1" ht="15" customHeight="1">
      <c r="A30" s="348"/>
      <c r="B30" s="348"/>
      <c r="C30" s="351">
        <v>5232</v>
      </c>
      <c r="D30" s="425"/>
      <c r="E30" s="612"/>
      <c r="F30" s="326"/>
      <c r="G30" s="105"/>
    </row>
    <row r="31" spans="1:7" s="312" customFormat="1" ht="15" customHeight="1">
      <c r="A31" s="591"/>
      <c r="B31" s="591"/>
      <c r="C31" s="349" t="s">
        <v>122</v>
      </c>
      <c r="D31" s="424">
        <v>2948275856</v>
      </c>
      <c r="E31" s="611">
        <v>2886100810</v>
      </c>
      <c r="F31" s="325">
        <f>D31-E31</f>
        <v>62175046</v>
      </c>
      <c r="G31" s="104"/>
    </row>
    <row r="32" spans="1:7" s="312" customFormat="1" ht="15" customHeight="1">
      <c r="A32" s="348"/>
      <c r="B32" s="348"/>
      <c r="C32" s="350">
        <v>5233</v>
      </c>
      <c r="D32" s="426"/>
      <c r="E32" s="426"/>
      <c r="F32" s="327"/>
      <c r="G32" s="323"/>
    </row>
    <row r="33" spans="1:7" s="312" customFormat="1" ht="15" customHeight="1">
      <c r="A33" s="352"/>
      <c r="B33" s="352"/>
      <c r="C33" s="349" t="s">
        <v>123</v>
      </c>
      <c r="D33" s="424">
        <v>58168500</v>
      </c>
      <c r="E33" s="611">
        <v>147757000</v>
      </c>
      <c r="F33" s="325">
        <f>D33-E33</f>
        <v>-89588500</v>
      </c>
      <c r="G33" s="104"/>
    </row>
    <row r="34" spans="1:7" s="312" customFormat="1" ht="15" customHeight="1">
      <c r="A34" s="348"/>
      <c r="B34" s="344">
        <v>5240</v>
      </c>
      <c r="C34" s="355"/>
      <c r="D34" s="426"/>
      <c r="E34" s="426"/>
      <c r="F34" s="323"/>
      <c r="G34" s="323"/>
    </row>
    <row r="35" spans="1:7" s="312" customFormat="1" ht="15" customHeight="1">
      <c r="A35" s="348"/>
      <c r="B35" s="476" t="s">
        <v>897</v>
      </c>
      <c r="C35" s="349"/>
      <c r="D35" s="424">
        <f>D37+D39</f>
        <v>3404784670</v>
      </c>
      <c r="E35" s="611">
        <f>E37+E39</f>
        <v>1729100000</v>
      </c>
      <c r="F35" s="325">
        <f>D35-E35</f>
        <v>1675684670</v>
      </c>
      <c r="G35" s="104"/>
    </row>
    <row r="36" spans="1:7" s="312" customFormat="1" ht="15" customHeight="1">
      <c r="A36" s="348"/>
      <c r="B36" s="354"/>
      <c r="C36" s="350">
        <v>5241</v>
      </c>
      <c r="D36" s="426"/>
      <c r="E36" s="426"/>
      <c r="F36" s="323"/>
      <c r="G36" s="323"/>
    </row>
    <row r="37" spans="1:7" s="312" customFormat="1" ht="15" customHeight="1">
      <c r="A37" s="348"/>
      <c r="B37" s="354"/>
      <c r="C37" s="349" t="s">
        <v>124</v>
      </c>
      <c r="D37" s="424">
        <v>3284784670</v>
      </c>
      <c r="E37" s="611">
        <v>1729100000</v>
      </c>
      <c r="F37" s="325">
        <f>D37-E37</f>
        <v>1555684670</v>
      </c>
      <c r="G37" s="104"/>
    </row>
    <row r="38" spans="1:7" s="576" customFormat="1" ht="15" customHeight="1">
      <c r="A38" s="591"/>
      <c r="B38" s="621"/>
      <c r="C38" s="593">
        <v>5242</v>
      </c>
      <c r="D38" s="426"/>
      <c r="E38" s="426"/>
      <c r="F38" s="327"/>
      <c r="G38" s="580"/>
    </row>
    <row r="39" spans="1:7" s="576" customFormat="1" ht="15" customHeight="1">
      <c r="A39" s="591"/>
      <c r="B39" s="621"/>
      <c r="C39" s="596" t="s">
        <v>1018</v>
      </c>
      <c r="D39" s="426">
        <v>120000000</v>
      </c>
      <c r="E39" s="426">
        <v>0</v>
      </c>
      <c r="F39" s="327">
        <f>D39-E39</f>
        <v>120000000</v>
      </c>
      <c r="G39" s="580"/>
    </row>
    <row r="40" spans="1:7" s="312" customFormat="1" ht="15" customHeight="1">
      <c r="A40" s="344">
        <v>5300</v>
      </c>
      <c r="B40" s="344"/>
      <c r="C40" s="351"/>
      <c r="D40" s="425"/>
      <c r="E40" s="612"/>
      <c r="F40" s="105"/>
      <c r="G40" s="105"/>
    </row>
    <row r="41" spans="1:7" s="312" customFormat="1" ht="15" customHeight="1">
      <c r="A41" s="354" t="s">
        <v>18</v>
      </c>
      <c r="B41" s="356"/>
      <c r="C41" s="349"/>
      <c r="D41" s="419">
        <f>D43+D47+D53</f>
        <v>12789487440</v>
      </c>
      <c r="E41" s="606">
        <f>E43+E47+E53</f>
        <v>15631227982</v>
      </c>
      <c r="F41" s="104">
        <f>D41-E41</f>
        <v>-2841740542</v>
      </c>
      <c r="G41" s="104"/>
    </row>
    <row r="42" spans="1:7" s="312" customFormat="1" ht="15" customHeight="1">
      <c r="A42" s="348"/>
      <c r="B42" s="344">
        <v>5310</v>
      </c>
      <c r="C42" s="353"/>
      <c r="D42" s="422"/>
      <c r="E42" s="609"/>
      <c r="F42" s="314"/>
      <c r="G42" s="314"/>
    </row>
    <row r="43" spans="1:7" s="312" customFormat="1" ht="15" customHeight="1">
      <c r="A43" s="348"/>
      <c r="B43" s="355" t="s">
        <v>76</v>
      </c>
      <c r="C43" s="355"/>
      <c r="D43" s="420">
        <f>D45</f>
        <v>3859660000</v>
      </c>
      <c r="E43" s="607">
        <f>E45</f>
        <v>3385530000</v>
      </c>
      <c r="F43" s="323">
        <f>D43-E43</f>
        <v>474130000</v>
      </c>
      <c r="G43" s="323"/>
    </row>
    <row r="44" spans="1:7" s="312" customFormat="1" ht="15" customHeight="1">
      <c r="A44" s="348"/>
      <c r="B44" s="348"/>
      <c r="C44" s="351">
        <v>5312</v>
      </c>
      <c r="D44" s="427"/>
      <c r="E44" s="613"/>
      <c r="F44" s="314"/>
      <c r="G44" s="314"/>
    </row>
    <row r="45" spans="1:7" s="312" customFormat="1" ht="15" customHeight="1">
      <c r="A45" s="348"/>
      <c r="B45" s="352"/>
      <c r="C45" s="349" t="s">
        <v>734</v>
      </c>
      <c r="D45" s="428">
        <v>3859660000</v>
      </c>
      <c r="E45" s="614">
        <v>3385530000</v>
      </c>
      <c r="F45" s="329">
        <f>D45-E45</f>
        <v>474130000</v>
      </c>
      <c r="G45" s="104"/>
    </row>
    <row r="46" spans="1:7" s="312" customFormat="1" ht="15" customHeight="1">
      <c r="A46" s="348"/>
      <c r="B46" s="344">
        <v>5320</v>
      </c>
      <c r="C46" s="353"/>
      <c r="D46" s="427"/>
      <c r="E46" s="613"/>
      <c r="F46" s="314"/>
      <c r="G46" s="314"/>
    </row>
    <row r="47" spans="1:7" s="312" customFormat="1" ht="15" customHeight="1">
      <c r="A47" s="358"/>
      <c r="B47" s="476" t="s">
        <v>898</v>
      </c>
      <c r="C47" s="349"/>
      <c r="D47" s="419">
        <f>D49+D51</f>
        <v>1365873400</v>
      </c>
      <c r="E47" s="606">
        <f>E49+E51</f>
        <v>1465873400</v>
      </c>
      <c r="F47" s="104">
        <f>D47-E47</f>
        <v>-100000000</v>
      </c>
      <c r="G47" s="104"/>
    </row>
    <row r="48" spans="1:7" s="312" customFormat="1" ht="15" customHeight="1">
      <c r="A48" s="354"/>
      <c r="B48" s="354"/>
      <c r="C48" s="351">
        <v>5321</v>
      </c>
      <c r="D48" s="422"/>
      <c r="E48" s="609"/>
      <c r="F48" s="314"/>
      <c r="G48" s="314"/>
    </row>
    <row r="49" spans="1:7" s="312" customFormat="1" ht="15" customHeight="1">
      <c r="A49" s="348"/>
      <c r="B49" s="354"/>
      <c r="C49" s="349" t="s">
        <v>77</v>
      </c>
      <c r="D49" s="424">
        <v>160000000</v>
      </c>
      <c r="E49" s="611">
        <v>160000000</v>
      </c>
      <c r="F49" s="325">
        <f>D49-E49</f>
        <v>0</v>
      </c>
      <c r="G49" s="104"/>
    </row>
    <row r="50" spans="1:7" s="312" customFormat="1" ht="15" customHeight="1">
      <c r="A50" s="348"/>
      <c r="B50" s="354"/>
      <c r="C50" s="351">
        <v>5322</v>
      </c>
      <c r="D50" s="423"/>
      <c r="E50" s="610"/>
      <c r="F50" s="324"/>
      <c r="G50" s="314"/>
    </row>
    <row r="51" spans="1:7" s="312" customFormat="1" ht="15" customHeight="1">
      <c r="A51" s="348"/>
      <c r="B51" s="356"/>
      <c r="C51" s="349" t="s">
        <v>106</v>
      </c>
      <c r="D51" s="424">
        <v>1205873400</v>
      </c>
      <c r="E51" s="611">
        <v>1305873400</v>
      </c>
      <c r="F51" s="325">
        <f>D51-E51</f>
        <v>-100000000</v>
      </c>
      <c r="G51" s="104"/>
    </row>
    <row r="52" spans="1:7" s="312" customFormat="1" ht="15" customHeight="1">
      <c r="A52" s="348"/>
      <c r="B52" s="344">
        <v>5330</v>
      </c>
      <c r="C52" s="353"/>
      <c r="D52" s="423"/>
      <c r="E52" s="610"/>
      <c r="F52" s="314"/>
      <c r="G52" s="314"/>
    </row>
    <row r="53" spans="1:7" s="312" customFormat="1" ht="15" customHeight="1">
      <c r="A53" s="348"/>
      <c r="B53" s="476" t="s">
        <v>20</v>
      </c>
      <c r="C53" s="349"/>
      <c r="D53" s="419">
        <f>D55+D57</f>
        <v>7563954040</v>
      </c>
      <c r="E53" s="606">
        <f>E55+E57</f>
        <v>10779824582</v>
      </c>
      <c r="F53" s="104">
        <f>D53-E53</f>
        <v>-3215870542</v>
      </c>
      <c r="G53" s="104"/>
    </row>
    <row r="54" spans="1:7" s="312" customFormat="1" ht="15" customHeight="1">
      <c r="A54" s="348"/>
      <c r="B54" s="348"/>
      <c r="C54" s="350">
        <v>5331</v>
      </c>
      <c r="D54" s="420"/>
      <c r="E54" s="607"/>
      <c r="F54" s="323"/>
      <c r="G54" s="323"/>
    </row>
    <row r="55" spans="1:7" s="312" customFormat="1" ht="15" customHeight="1">
      <c r="A55" s="348"/>
      <c r="B55" s="348"/>
      <c r="C55" s="349" t="s">
        <v>125</v>
      </c>
      <c r="D55" s="419">
        <v>152220000</v>
      </c>
      <c r="E55" s="606">
        <v>135270000</v>
      </c>
      <c r="F55" s="104">
        <f>D55-E55</f>
        <v>16950000</v>
      </c>
      <c r="G55" s="104"/>
    </row>
    <row r="56" spans="1:7" s="312" customFormat="1" ht="15" customHeight="1">
      <c r="A56" s="348"/>
      <c r="B56" s="348"/>
      <c r="C56" s="351">
        <v>5339</v>
      </c>
      <c r="D56" s="422"/>
      <c r="E56" s="609"/>
      <c r="F56" s="314"/>
      <c r="G56" s="314"/>
    </row>
    <row r="57" spans="1:7" s="312" customFormat="1" ht="15" customHeight="1">
      <c r="A57" s="352"/>
      <c r="B57" s="352"/>
      <c r="C57" s="349" t="s">
        <v>21</v>
      </c>
      <c r="D57" s="424">
        <v>7411734040</v>
      </c>
      <c r="E57" s="611">
        <v>10644554582</v>
      </c>
      <c r="F57" s="325">
        <f>D57-E57</f>
        <v>-3232820542</v>
      </c>
      <c r="G57" s="104"/>
    </row>
    <row r="58" spans="1:7" s="312" customFormat="1" ht="15" customHeight="1">
      <c r="A58" s="344">
        <v>5400</v>
      </c>
      <c r="B58" s="359"/>
      <c r="C58" s="353"/>
      <c r="D58" s="423"/>
      <c r="E58" s="610"/>
      <c r="F58" s="314"/>
      <c r="G58" s="314"/>
    </row>
    <row r="59" spans="1:7" s="312" customFormat="1" ht="15" customHeight="1">
      <c r="A59" s="354" t="s">
        <v>22</v>
      </c>
      <c r="B59" s="356"/>
      <c r="C59" s="349"/>
      <c r="D59" s="419">
        <f>D61+D65</f>
        <v>2547368000</v>
      </c>
      <c r="E59" s="606">
        <f>E61+E65</f>
        <v>3121368000</v>
      </c>
      <c r="F59" s="104">
        <f>D59-E59</f>
        <v>-574000000</v>
      </c>
      <c r="G59" s="104"/>
    </row>
    <row r="60" spans="1:7" s="312" customFormat="1" ht="15" customHeight="1">
      <c r="A60" s="348"/>
      <c r="B60" s="344">
        <v>5410</v>
      </c>
      <c r="C60" s="353"/>
      <c r="D60" s="422"/>
      <c r="E60" s="609"/>
      <c r="F60" s="314"/>
      <c r="G60" s="314"/>
    </row>
    <row r="61" spans="1:7" s="312" customFormat="1" ht="15" customHeight="1">
      <c r="A61" s="348"/>
      <c r="B61" s="354" t="s">
        <v>23</v>
      </c>
      <c r="C61" s="349"/>
      <c r="D61" s="419">
        <f>D63</f>
        <v>1777774000</v>
      </c>
      <c r="E61" s="606">
        <f>E63</f>
        <v>2577774000</v>
      </c>
      <c r="F61" s="104">
        <f>D61-E61</f>
        <v>-800000000</v>
      </c>
      <c r="G61" s="104"/>
    </row>
    <row r="62" spans="1:7" s="312" customFormat="1" ht="15" customHeight="1">
      <c r="A62" s="348"/>
      <c r="B62" s="348"/>
      <c r="C62" s="351">
        <v>5411</v>
      </c>
      <c r="D62" s="422"/>
      <c r="E62" s="609"/>
      <c r="F62" s="314"/>
      <c r="G62" s="314"/>
    </row>
    <row r="63" spans="1:7" s="312" customFormat="1" ht="15" customHeight="1">
      <c r="A63" s="348"/>
      <c r="B63" s="352"/>
      <c r="C63" s="349" t="s">
        <v>24</v>
      </c>
      <c r="D63" s="424">
        <v>1777774000</v>
      </c>
      <c r="E63" s="611">
        <v>2577774000</v>
      </c>
      <c r="F63" s="325">
        <f>D63-E63</f>
        <v>-800000000</v>
      </c>
      <c r="G63" s="104"/>
    </row>
    <row r="64" spans="1:7" s="312" customFormat="1" ht="15" customHeight="1">
      <c r="A64" s="348"/>
      <c r="B64" s="344">
        <v>5420</v>
      </c>
      <c r="C64" s="351"/>
      <c r="D64" s="425"/>
      <c r="E64" s="612"/>
      <c r="F64" s="105"/>
      <c r="G64" s="105"/>
    </row>
    <row r="65" spans="1:7" s="312" customFormat="1" ht="15" customHeight="1">
      <c r="A65" s="348"/>
      <c r="B65" s="354" t="s">
        <v>25</v>
      </c>
      <c r="C65" s="349"/>
      <c r="D65" s="419">
        <f>D67</f>
        <v>769594000</v>
      </c>
      <c r="E65" s="606">
        <f>E67</f>
        <v>543594000</v>
      </c>
      <c r="F65" s="104">
        <f>D65-E65</f>
        <v>226000000</v>
      </c>
      <c r="G65" s="104"/>
    </row>
    <row r="66" spans="1:7" s="312" customFormat="1" ht="15" customHeight="1">
      <c r="A66" s="348"/>
      <c r="B66" s="348"/>
      <c r="C66" s="351">
        <v>5421</v>
      </c>
      <c r="D66" s="422"/>
      <c r="E66" s="609"/>
      <c r="F66" s="314"/>
      <c r="G66" s="314"/>
    </row>
    <row r="67" spans="1:7" s="312" customFormat="1" ht="15" customHeight="1">
      <c r="A67" s="352"/>
      <c r="B67" s="352"/>
      <c r="C67" s="349" t="s">
        <v>26</v>
      </c>
      <c r="D67" s="424">
        <v>769594000</v>
      </c>
      <c r="E67" s="611">
        <v>543594000</v>
      </c>
      <c r="F67" s="325">
        <f>D67-E67</f>
        <v>226000000</v>
      </c>
      <c r="G67" s="104"/>
    </row>
    <row r="68" spans="1:7" s="312" customFormat="1" ht="15" customHeight="1">
      <c r="A68" s="351">
        <v>1200</v>
      </c>
      <c r="B68" s="359"/>
      <c r="C68" s="353"/>
      <c r="D68" s="423"/>
      <c r="E68" s="610"/>
      <c r="F68" s="314"/>
      <c r="G68" s="314"/>
    </row>
    <row r="69" spans="1:7" s="312" customFormat="1" ht="15" customHeight="1">
      <c r="A69" s="476" t="s">
        <v>893</v>
      </c>
      <c r="B69" s="356"/>
      <c r="C69" s="349"/>
      <c r="D69" s="419">
        <f>D71</f>
        <v>29493464671</v>
      </c>
      <c r="E69" s="606">
        <f>E71</f>
        <v>22560831090</v>
      </c>
      <c r="F69" s="104">
        <f>D69-E69</f>
        <v>6932633581</v>
      </c>
      <c r="G69" s="104"/>
    </row>
    <row r="70" spans="1:7" s="312" customFormat="1" ht="15" customHeight="1">
      <c r="A70" s="348"/>
      <c r="B70" s="360">
        <v>1260</v>
      </c>
      <c r="C70" s="355"/>
      <c r="D70" s="420"/>
      <c r="E70" s="607"/>
      <c r="F70" s="323"/>
      <c r="G70" s="323"/>
    </row>
    <row r="71" spans="1:7" s="312" customFormat="1" ht="15" customHeight="1">
      <c r="A71" s="348"/>
      <c r="B71" s="476" t="s">
        <v>747</v>
      </c>
      <c r="C71" s="355"/>
      <c r="D71" s="420">
        <f>D73+D75+D77+D79</f>
        <v>29493464671</v>
      </c>
      <c r="E71" s="607">
        <f aca="true" t="shared" si="0" ref="E71">E73+E75+E77+E79</f>
        <v>22560831090</v>
      </c>
      <c r="F71" s="323">
        <f>D71-E71</f>
        <v>6932633581</v>
      </c>
      <c r="G71" s="323"/>
    </row>
    <row r="72" spans="1:7" s="312" customFormat="1" ht="15" customHeight="1">
      <c r="A72" s="348"/>
      <c r="B72" s="348"/>
      <c r="C72" s="351">
        <v>1262</v>
      </c>
      <c r="D72" s="422"/>
      <c r="E72" s="609"/>
      <c r="F72" s="314"/>
      <c r="G72" s="314"/>
    </row>
    <row r="73" spans="1:7" s="312" customFormat="1" ht="15" customHeight="1">
      <c r="A73" s="348"/>
      <c r="B73" s="348"/>
      <c r="C73" s="355" t="s">
        <v>748</v>
      </c>
      <c r="D73" s="420">
        <v>4801619000</v>
      </c>
      <c r="E73" s="607">
        <v>2012119090</v>
      </c>
      <c r="F73" s="323">
        <f>D73-E73</f>
        <v>2789499910</v>
      </c>
      <c r="G73" s="323"/>
    </row>
    <row r="74" spans="1:7" s="312" customFormat="1" ht="15" customHeight="1">
      <c r="A74" s="348"/>
      <c r="B74" s="348"/>
      <c r="C74" s="351">
        <v>1263</v>
      </c>
      <c r="D74" s="422"/>
      <c r="E74" s="609"/>
      <c r="F74" s="314"/>
      <c r="G74" s="314"/>
    </row>
    <row r="75" spans="1:7" s="312" customFormat="1" ht="15" customHeight="1">
      <c r="A75" s="348"/>
      <c r="B75" s="348"/>
      <c r="C75" s="349" t="s">
        <v>749</v>
      </c>
      <c r="D75" s="419">
        <v>13200067671</v>
      </c>
      <c r="E75" s="606">
        <v>14184000000</v>
      </c>
      <c r="F75" s="104">
        <f>D75-E75</f>
        <v>-983932329</v>
      </c>
      <c r="G75" s="104"/>
    </row>
    <row r="76" spans="1:7" s="312" customFormat="1" ht="15" customHeight="1">
      <c r="A76" s="348"/>
      <c r="B76" s="348"/>
      <c r="C76" s="350">
        <v>1264</v>
      </c>
      <c r="D76" s="420"/>
      <c r="E76" s="607"/>
      <c r="F76" s="323"/>
      <c r="G76" s="323"/>
    </row>
    <row r="77" spans="1:7" s="312" customFormat="1" ht="15" customHeight="1">
      <c r="A77" s="348"/>
      <c r="B77" s="348"/>
      <c r="C77" s="355" t="s">
        <v>750</v>
      </c>
      <c r="D77" s="420">
        <f>5193184000+500000000</f>
        <v>5693184000</v>
      </c>
      <c r="E77" s="607">
        <v>2856315000</v>
      </c>
      <c r="F77" s="323">
        <f>D77-E77</f>
        <v>2836869000</v>
      </c>
      <c r="G77" s="323"/>
    </row>
    <row r="78" spans="1:7" s="312" customFormat="1" ht="15" customHeight="1">
      <c r="A78" s="348"/>
      <c r="B78" s="348"/>
      <c r="C78" s="351">
        <v>1266</v>
      </c>
      <c r="D78" s="422"/>
      <c r="E78" s="609"/>
      <c r="F78" s="314"/>
      <c r="G78" s="314"/>
    </row>
    <row r="79" spans="1:7" s="312" customFormat="1" ht="15" customHeight="1">
      <c r="A79" s="348"/>
      <c r="B79" s="348"/>
      <c r="C79" s="355" t="s">
        <v>751</v>
      </c>
      <c r="D79" s="420">
        <v>5798594000</v>
      </c>
      <c r="E79" s="607">
        <v>3508397000</v>
      </c>
      <c r="F79" s="323">
        <f>D79-E79</f>
        <v>2290197000</v>
      </c>
      <c r="G79" s="323"/>
    </row>
    <row r="80" spans="1:7" s="576" customFormat="1" ht="15" customHeight="1">
      <c r="A80" s="590">
        <v>1300</v>
      </c>
      <c r="B80" s="601"/>
      <c r="C80" s="595"/>
      <c r="D80" s="609"/>
      <c r="E80" s="609"/>
      <c r="F80" s="577"/>
      <c r="G80" s="577"/>
    </row>
    <row r="81" spans="1:7" s="576" customFormat="1" ht="15" customHeight="1">
      <c r="A81" s="621" t="s">
        <v>1019</v>
      </c>
      <c r="B81" s="591"/>
      <c r="C81" s="596"/>
      <c r="D81" s="607">
        <f>D83</f>
        <v>499757930</v>
      </c>
      <c r="E81" s="607">
        <v>0</v>
      </c>
      <c r="F81" s="580">
        <f>D81-E81</f>
        <v>499757930</v>
      </c>
      <c r="G81" s="580"/>
    </row>
    <row r="82" spans="1:7" s="576" customFormat="1" ht="15" customHeight="1">
      <c r="A82" s="591"/>
      <c r="B82" s="590">
        <v>1310</v>
      </c>
      <c r="C82" s="595"/>
      <c r="D82" s="609"/>
      <c r="E82" s="609"/>
      <c r="F82" s="577"/>
      <c r="G82" s="577"/>
    </row>
    <row r="83" spans="1:7" s="576" customFormat="1" ht="15" customHeight="1">
      <c r="A83" s="591"/>
      <c r="B83" s="621" t="s">
        <v>1022</v>
      </c>
      <c r="C83" s="596"/>
      <c r="D83" s="607">
        <f>D85+D87</f>
        <v>499757930</v>
      </c>
      <c r="E83" s="607">
        <f>E85+E87</f>
        <v>0</v>
      </c>
      <c r="F83" s="580">
        <f>D83-E83</f>
        <v>499757930</v>
      </c>
      <c r="G83" s="580"/>
    </row>
    <row r="84" spans="1:7" s="576" customFormat="1" ht="15" customHeight="1">
      <c r="A84" s="591"/>
      <c r="B84" s="591"/>
      <c r="C84" s="594">
        <v>1316</v>
      </c>
      <c r="D84" s="609"/>
      <c r="E84" s="609"/>
      <c r="F84" s="577"/>
      <c r="G84" s="577"/>
    </row>
    <row r="85" spans="1:7" s="576" customFormat="1" ht="15" customHeight="1">
      <c r="A85" s="591"/>
      <c r="B85" s="591"/>
      <c r="C85" s="596" t="s">
        <v>1020</v>
      </c>
      <c r="D85" s="607">
        <v>461750000</v>
      </c>
      <c r="E85" s="607">
        <v>0</v>
      </c>
      <c r="F85" s="580">
        <f>D85-E85</f>
        <v>461750000</v>
      </c>
      <c r="G85" s="580"/>
    </row>
    <row r="86" spans="1:7" s="576" customFormat="1" ht="15" customHeight="1">
      <c r="A86" s="591"/>
      <c r="B86" s="591"/>
      <c r="C86" s="594">
        <v>1317</v>
      </c>
      <c r="D86" s="609"/>
      <c r="E86" s="609"/>
      <c r="F86" s="577"/>
      <c r="G86" s="577"/>
    </row>
    <row r="87" spans="1:7" s="576" customFormat="1" ht="15" customHeight="1">
      <c r="A87" s="591"/>
      <c r="B87" s="591"/>
      <c r="C87" s="596" t="s">
        <v>1021</v>
      </c>
      <c r="D87" s="607">
        <v>38007930</v>
      </c>
      <c r="E87" s="607">
        <v>0</v>
      </c>
      <c r="F87" s="580">
        <f>D87-E87</f>
        <v>38007930</v>
      </c>
      <c r="G87" s="580"/>
    </row>
    <row r="88" spans="1:7" s="312" customFormat="1" ht="15" customHeight="1">
      <c r="A88" s="344">
        <v>2200</v>
      </c>
      <c r="B88" s="359"/>
      <c r="C88" s="353"/>
      <c r="D88" s="423"/>
      <c r="E88" s="610"/>
      <c r="F88" s="314"/>
      <c r="G88" s="314"/>
    </row>
    <row r="89" spans="1:7" s="312" customFormat="1" ht="15" customHeight="1">
      <c r="A89" s="476" t="s">
        <v>27</v>
      </c>
      <c r="B89" s="356"/>
      <c r="C89" s="349"/>
      <c r="D89" s="419">
        <f>D91</f>
        <v>78525000</v>
      </c>
      <c r="E89" s="606">
        <f>E91</f>
        <v>78525000</v>
      </c>
      <c r="F89" s="104">
        <f>D89-E89</f>
        <v>0</v>
      </c>
      <c r="G89" s="104"/>
    </row>
    <row r="90" spans="1:7" s="312" customFormat="1" ht="15" customHeight="1">
      <c r="A90" s="348"/>
      <c r="B90" s="360">
        <v>2220</v>
      </c>
      <c r="C90" s="355"/>
      <c r="D90" s="426"/>
      <c r="E90" s="426"/>
      <c r="F90" s="323"/>
      <c r="G90" s="323"/>
    </row>
    <row r="91" spans="1:7" s="312" customFormat="1" ht="15" customHeight="1">
      <c r="A91" s="348"/>
      <c r="B91" s="476" t="s">
        <v>107</v>
      </c>
      <c r="C91" s="349"/>
      <c r="D91" s="419">
        <f>D93</f>
        <v>78525000</v>
      </c>
      <c r="E91" s="606">
        <f>E93</f>
        <v>78525000</v>
      </c>
      <c r="F91" s="104">
        <f>D91-E91</f>
        <v>0</v>
      </c>
      <c r="G91" s="104"/>
    </row>
    <row r="92" spans="1:7" s="312" customFormat="1" ht="15" customHeight="1">
      <c r="A92" s="348"/>
      <c r="B92" s="348"/>
      <c r="C92" s="351">
        <v>2221</v>
      </c>
      <c r="D92" s="422"/>
      <c r="E92" s="609"/>
      <c r="F92" s="314"/>
      <c r="G92" s="314"/>
    </row>
    <row r="93" spans="1:7" s="312" customFormat="1" ht="15" customHeight="1">
      <c r="A93" s="352"/>
      <c r="B93" s="352"/>
      <c r="C93" s="349" t="s">
        <v>126</v>
      </c>
      <c r="D93" s="424">
        <v>78525000</v>
      </c>
      <c r="E93" s="611">
        <v>78525000</v>
      </c>
      <c r="F93" s="325">
        <f>D93-E93</f>
        <v>0</v>
      </c>
      <c r="G93" s="104"/>
    </row>
    <row r="94" spans="1:7" s="312" customFormat="1" ht="15" customHeight="1">
      <c r="A94" s="478" t="s">
        <v>899</v>
      </c>
      <c r="B94" s="361"/>
      <c r="C94" s="362"/>
      <c r="D94" s="430">
        <f>D96</f>
        <v>2499124966</v>
      </c>
      <c r="E94" s="616">
        <f>E96</f>
        <v>1000000000</v>
      </c>
      <c r="F94" s="332">
        <f>D94-E94</f>
        <v>1499124966</v>
      </c>
      <c r="G94" s="332"/>
    </row>
    <row r="95" spans="1:7" s="312" customFormat="1" ht="15" customHeight="1">
      <c r="A95" s="354"/>
      <c r="B95" s="344">
        <v>1100</v>
      </c>
      <c r="C95" s="363"/>
      <c r="D95" s="431"/>
      <c r="E95" s="617"/>
      <c r="F95" s="331"/>
      <c r="G95" s="331"/>
    </row>
    <row r="96" spans="1:7" s="312" customFormat="1" ht="15" customHeight="1">
      <c r="A96" s="348"/>
      <c r="B96" s="476" t="s">
        <v>28</v>
      </c>
      <c r="C96" s="364"/>
      <c r="D96" s="419">
        <f>D98</f>
        <v>2499124966</v>
      </c>
      <c r="E96" s="606">
        <f>E98</f>
        <v>1000000000</v>
      </c>
      <c r="F96" s="104">
        <f>D96-E96</f>
        <v>1499124966</v>
      </c>
      <c r="G96" s="104"/>
    </row>
    <row r="97" spans="1:7" s="312" customFormat="1" ht="15" customHeight="1">
      <c r="A97" s="348"/>
      <c r="B97" s="348"/>
      <c r="C97" s="351">
        <v>1100</v>
      </c>
      <c r="D97" s="422"/>
      <c r="E97" s="609"/>
      <c r="F97" s="314"/>
      <c r="G97" s="314"/>
    </row>
    <row r="98" spans="1:7" s="312" customFormat="1" ht="15" customHeight="1">
      <c r="A98" s="348"/>
      <c r="B98" s="352"/>
      <c r="C98" s="349" t="s">
        <v>28</v>
      </c>
      <c r="D98" s="419">
        <v>2499124966</v>
      </c>
      <c r="E98" s="606">
        <v>1000000000</v>
      </c>
      <c r="F98" s="104">
        <f>D98-E98</f>
        <v>1499124966</v>
      </c>
      <c r="G98" s="104"/>
    </row>
    <row r="99" spans="1:7" s="312" customFormat="1" ht="24.75" customHeight="1">
      <c r="A99" s="1076" t="s">
        <v>9</v>
      </c>
      <c r="B99" s="1076"/>
      <c r="C99" s="1076"/>
      <c r="D99" s="432">
        <f>D7+D13+D41+D59+D69+D81+D89+D94</f>
        <v>107111689801</v>
      </c>
      <c r="E99" s="333">
        <f>E7+E13+E41+E59+E69+E89+E94</f>
        <v>89684842000</v>
      </c>
      <c r="F99" s="333">
        <f>D99-E99</f>
        <v>17426847801</v>
      </c>
      <c r="G99" s="333"/>
    </row>
    <row r="100" s="312" customFormat="1" ht="27" customHeight="1">
      <c r="A100" s="316"/>
    </row>
  </sheetData>
  <mergeCells count="6">
    <mergeCell ref="A99:C99"/>
    <mergeCell ref="A1:G1"/>
    <mergeCell ref="A2:G2"/>
    <mergeCell ref="A3:G3"/>
    <mergeCell ref="A4:C4"/>
    <mergeCell ref="G4:G5"/>
  </mergeCells>
  <printOptions/>
  <pageMargins left="0.7086614173228347" right="0.15748031496062992" top="0.7480314960629921" bottom="0.35433070866141736" header="0.4724409448818898" footer="0.15748031496062992"/>
  <pageSetup horizontalDpi="600" verticalDpi="600" orientation="landscape" paperSize="9" scale="90" r:id="rId2"/>
  <headerFooter alignWithMargins="0">
    <oddHeader>&amp;L&amp;"굴림체,보통"&amp;8&lt;별지 제2호 서식&gt;</oddHeader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workbookViewId="0" topLeftCell="A1">
      <pane ySplit="5" topLeftCell="A144" activePane="bottomLeft" state="frozen"/>
      <selection pane="bottomLeft" activeCell="D171" sqref="D171"/>
    </sheetView>
  </sheetViews>
  <sheetFormatPr defaultColWidth="9.00390625" defaultRowHeight="14.25"/>
  <cols>
    <col min="1" max="1" width="16.625" style="69" customWidth="1"/>
    <col min="2" max="2" width="17.00390625" style="69" customWidth="1"/>
    <col min="3" max="3" width="19.125" style="9" customWidth="1"/>
    <col min="4" max="4" width="25.75390625" style="9" customWidth="1"/>
    <col min="5" max="5" width="22.625" style="9" customWidth="1"/>
    <col min="6" max="6" width="19.625" style="9" customWidth="1"/>
    <col min="7" max="7" width="18.50390625" style="9" customWidth="1"/>
    <col min="8" max="16384" width="9.00390625" style="9" customWidth="1"/>
  </cols>
  <sheetData>
    <row r="1" spans="1:7" ht="34.5" customHeight="1">
      <c r="A1" s="993" t="s">
        <v>774</v>
      </c>
      <c r="B1" s="994"/>
      <c r="C1" s="994"/>
      <c r="D1" s="994"/>
      <c r="E1" s="994"/>
      <c r="F1" s="994"/>
      <c r="G1" s="994"/>
    </row>
    <row r="2" spans="1:7" ht="24.75" customHeight="1">
      <c r="A2" s="995" t="s">
        <v>785</v>
      </c>
      <c r="B2" s="995"/>
      <c r="C2" s="995"/>
      <c r="D2" s="995"/>
      <c r="E2" s="995"/>
      <c r="F2" s="995"/>
      <c r="G2" s="995"/>
    </row>
    <row r="3" spans="1:7" s="72" customFormat="1" ht="39.75" customHeight="1">
      <c r="A3" s="996" t="s">
        <v>99</v>
      </c>
      <c r="B3" s="997"/>
      <c r="C3" s="997"/>
      <c r="D3" s="997"/>
      <c r="E3" s="997"/>
      <c r="F3" s="997"/>
      <c r="G3" s="998"/>
    </row>
    <row r="4" spans="1:7" s="73" customFormat="1" ht="18" customHeight="1">
      <c r="A4" s="999" t="s">
        <v>12</v>
      </c>
      <c r="B4" s="1000"/>
      <c r="C4" s="1001"/>
      <c r="D4" s="572" t="s">
        <v>1012</v>
      </c>
      <c r="E4" s="572" t="s">
        <v>1012</v>
      </c>
      <c r="F4" s="572" t="s">
        <v>1013</v>
      </c>
      <c r="G4" s="992" t="s">
        <v>735</v>
      </c>
    </row>
    <row r="5" spans="1:7" s="73" customFormat="1" ht="21" customHeight="1">
      <c r="A5" s="11" t="s">
        <v>13</v>
      </c>
      <c r="B5" s="11" t="s">
        <v>7</v>
      </c>
      <c r="C5" s="11" t="s">
        <v>8</v>
      </c>
      <c r="D5" s="623" t="s">
        <v>1014</v>
      </c>
      <c r="E5" s="623" t="s">
        <v>1015</v>
      </c>
      <c r="F5" s="623" t="s">
        <v>947</v>
      </c>
      <c r="G5" s="992"/>
    </row>
    <row r="6" spans="1:7" s="366" customFormat="1" ht="15" customHeight="1">
      <c r="A6" s="334">
        <v>4100</v>
      </c>
      <c r="B6" s="335"/>
      <c r="C6" s="335"/>
      <c r="D6" s="418"/>
      <c r="E6" s="605"/>
      <c r="F6" s="335"/>
      <c r="G6" s="335"/>
    </row>
    <row r="7" spans="1:7" s="368" customFormat="1" ht="15" customHeight="1">
      <c r="A7" s="476" t="s">
        <v>94</v>
      </c>
      <c r="B7" s="356"/>
      <c r="C7" s="367"/>
      <c r="D7" s="419">
        <f>D9+D25</f>
        <v>14417232712</v>
      </c>
      <c r="E7" s="606">
        <f aca="true" t="shared" si="0" ref="E7">E9+E25</f>
        <v>13170024693</v>
      </c>
      <c r="F7" s="104">
        <f>D7-E7</f>
        <v>1247208019</v>
      </c>
      <c r="G7" s="317" t="s">
        <v>96</v>
      </c>
    </row>
    <row r="8" spans="1:7" s="368" customFormat="1" ht="15" customHeight="1">
      <c r="A8" s="348"/>
      <c r="B8" s="344">
        <v>4110</v>
      </c>
      <c r="C8" s="369"/>
      <c r="D8" s="422"/>
      <c r="E8" s="609"/>
      <c r="F8" s="314"/>
      <c r="G8" s="314"/>
    </row>
    <row r="9" spans="1:7" s="368" customFormat="1" ht="15" customHeight="1">
      <c r="A9" s="348"/>
      <c r="B9" s="476" t="s">
        <v>78</v>
      </c>
      <c r="C9" s="370"/>
      <c r="D9" s="419">
        <f>SUM(D11+D13+D15+D17+D19+D21+D23)</f>
        <v>8393618242</v>
      </c>
      <c r="E9" s="606">
        <f>SUM(E11+E13+E15+E17+E19+E21+E23)</f>
        <v>8071630433</v>
      </c>
      <c r="F9" s="104">
        <f>D9-E9</f>
        <v>321987809</v>
      </c>
      <c r="G9" s="104"/>
    </row>
    <row r="10" spans="1:7" s="371" customFormat="1" ht="15" customHeight="1">
      <c r="A10" s="348"/>
      <c r="B10" s="348"/>
      <c r="C10" s="350">
        <v>4111</v>
      </c>
      <c r="D10" s="420"/>
      <c r="E10" s="607"/>
      <c r="F10" s="323"/>
      <c r="G10" s="323"/>
    </row>
    <row r="11" spans="1:7" s="368" customFormat="1" ht="15" customHeight="1">
      <c r="A11" s="348"/>
      <c r="B11" s="348"/>
      <c r="C11" s="349" t="s">
        <v>127</v>
      </c>
      <c r="D11" s="419">
        <v>2817475650</v>
      </c>
      <c r="E11" s="606">
        <v>2269210000</v>
      </c>
      <c r="F11" s="104">
        <f>D11-E11</f>
        <v>548265650</v>
      </c>
      <c r="G11" s="84"/>
    </row>
    <row r="12" spans="1:7" s="371" customFormat="1" ht="15" customHeight="1">
      <c r="A12" s="348"/>
      <c r="B12" s="348"/>
      <c r="C12" s="351">
        <v>4112</v>
      </c>
      <c r="D12" s="422"/>
      <c r="E12" s="609"/>
      <c r="F12" s="314"/>
      <c r="G12" s="86"/>
    </row>
    <row r="13" spans="1:7" s="368" customFormat="1" ht="15" customHeight="1">
      <c r="A13" s="348"/>
      <c r="B13" s="348"/>
      <c r="C13" s="349" t="s">
        <v>29</v>
      </c>
      <c r="D13" s="419">
        <v>358743945</v>
      </c>
      <c r="E13" s="606">
        <v>263276000</v>
      </c>
      <c r="F13" s="104">
        <f>D13-E13</f>
        <v>95467945</v>
      </c>
      <c r="G13" s="84"/>
    </row>
    <row r="14" spans="1:7" s="371" customFormat="1" ht="15" customHeight="1">
      <c r="A14" s="348"/>
      <c r="B14" s="348"/>
      <c r="C14" s="351">
        <v>4113</v>
      </c>
      <c r="D14" s="422"/>
      <c r="E14" s="609"/>
      <c r="F14" s="314"/>
      <c r="G14" s="86"/>
    </row>
    <row r="15" spans="1:7" s="368" customFormat="1" ht="15" customHeight="1">
      <c r="A15" s="348"/>
      <c r="B15" s="348"/>
      <c r="C15" s="349" t="s">
        <v>30</v>
      </c>
      <c r="D15" s="419">
        <v>418470799</v>
      </c>
      <c r="E15" s="606">
        <v>705862000</v>
      </c>
      <c r="F15" s="104">
        <f>D15-E15</f>
        <v>-287391201</v>
      </c>
      <c r="G15" s="168"/>
    </row>
    <row r="16" spans="1:7" s="371" customFormat="1" ht="15" customHeight="1">
      <c r="A16" s="348"/>
      <c r="B16" s="348"/>
      <c r="C16" s="351">
        <v>4114</v>
      </c>
      <c r="D16" s="422"/>
      <c r="E16" s="609"/>
      <c r="F16" s="314"/>
      <c r="G16" s="105"/>
    </row>
    <row r="17" spans="1:7" s="368" customFormat="1" ht="15" customHeight="1">
      <c r="A17" s="348"/>
      <c r="B17" s="348"/>
      <c r="C17" s="349" t="s">
        <v>31</v>
      </c>
      <c r="D17" s="419">
        <v>2721929408</v>
      </c>
      <c r="E17" s="606">
        <v>2642316433</v>
      </c>
      <c r="F17" s="104">
        <f>D17-E17</f>
        <v>79612975</v>
      </c>
      <c r="G17" s="168"/>
    </row>
    <row r="18" spans="1:7" s="371" customFormat="1" ht="15" customHeight="1">
      <c r="A18" s="348"/>
      <c r="B18" s="348"/>
      <c r="C18" s="351">
        <v>4115</v>
      </c>
      <c r="D18" s="422"/>
      <c r="E18" s="609"/>
      <c r="F18" s="314"/>
      <c r="G18" s="105"/>
    </row>
    <row r="19" spans="1:7" s="368" customFormat="1" ht="15" customHeight="1">
      <c r="A19" s="348"/>
      <c r="B19" s="348"/>
      <c r="C19" s="349" t="s">
        <v>32</v>
      </c>
      <c r="D19" s="419">
        <v>1798690440</v>
      </c>
      <c r="E19" s="606">
        <v>1766218000</v>
      </c>
      <c r="F19" s="104">
        <f>D19-E19</f>
        <v>32472440</v>
      </c>
      <c r="G19" s="84"/>
    </row>
    <row r="20" spans="1:7" s="371" customFormat="1" ht="15" customHeight="1">
      <c r="A20" s="348"/>
      <c r="B20" s="348"/>
      <c r="C20" s="351">
        <v>4116</v>
      </c>
      <c r="D20" s="422"/>
      <c r="E20" s="609"/>
      <c r="F20" s="314"/>
      <c r="G20" s="86"/>
    </row>
    <row r="21" spans="1:7" s="371" customFormat="1" ht="15" customHeight="1">
      <c r="A21" s="476"/>
      <c r="B21" s="476"/>
      <c r="C21" s="349" t="s">
        <v>737</v>
      </c>
      <c r="D21" s="419">
        <v>75226000</v>
      </c>
      <c r="E21" s="606">
        <v>54940000</v>
      </c>
      <c r="F21" s="104">
        <f>D21-E21</f>
        <v>20286000</v>
      </c>
      <c r="G21" s="84"/>
    </row>
    <row r="22" spans="1:7" s="371" customFormat="1" ht="15" customHeight="1">
      <c r="A22" s="354"/>
      <c r="B22" s="360"/>
      <c r="C22" s="350">
        <v>4117</v>
      </c>
      <c r="D22" s="433"/>
      <c r="E22" s="618"/>
      <c r="F22" s="372"/>
      <c r="G22" s="373"/>
    </row>
    <row r="23" spans="1:7" s="368" customFormat="1" ht="15" customHeight="1">
      <c r="A23" s="348"/>
      <c r="B23" s="356"/>
      <c r="C23" s="349" t="s">
        <v>738</v>
      </c>
      <c r="D23" s="419">
        <v>203082000</v>
      </c>
      <c r="E23" s="606">
        <v>369808000</v>
      </c>
      <c r="F23" s="104">
        <f>D23-E23</f>
        <v>-166726000</v>
      </c>
      <c r="G23" s="104"/>
    </row>
    <row r="24" spans="1:7" s="371" customFormat="1" ht="15" customHeight="1">
      <c r="A24" s="348"/>
      <c r="B24" s="344">
        <v>4120</v>
      </c>
      <c r="C24" s="353"/>
      <c r="D24" s="422"/>
      <c r="E24" s="609"/>
      <c r="F24" s="314"/>
      <c r="G24" s="314"/>
    </row>
    <row r="25" spans="1:7" s="368" customFormat="1" ht="15" customHeight="1">
      <c r="A25" s="348"/>
      <c r="B25" s="476" t="s">
        <v>33</v>
      </c>
      <c r="C25" s="349"/>
      <c r="D25" s="419">
        <f>SUM(D27:D37)</f>
        <v>6023614470</v>
      </c>
      <c r="E25" s="606">
        <f>SUM(E27:E37)</f>
        <v>5098394260</v>
      </c>
      <c r="F25" s="104">
        <f>D25-E25</f>
        <v>925220210</v>
      </c>
      <c r="G25" s="104"/>
    </row>
    <row r="26" spans="1:7" s="371" customFormat="1" ht="15" customHeight="1">
      <c r="A26" s="348"/>
      <c r="B26" s="348"/>
      <c r="C26" s="351">
        <v>4121</v>
      </c>
      <c r="D26" s="422"/>
      <c r="E26" s="609"/>
      <c r="F26" s="314"/>
      <c r="G26" s="314"/>
    </row>
    <row r="27" spans="1:7" s="368" customFormat="1" ht="15" customHeight="1">
      <c r="A27" s="348"/>
      <c r="B27" s="348"/>
      <c r="C27" s="349" t="s">
        <v>34</v>
      </c>
      <c r="D27" s="419">
        <v>2096589920</v>
      </c>
      <c r="E27" s="606">
        <v>1387491000</v>
      </c>
      <c r="F27" s="104">
        <f>D27-E27</f>
        <v>709098920</v>
      </c>
      <c r="G27" s="104"/>
    </row>
    <row r="28" spans="1:7" s="371" customFormat="1" ht="15" customHeight="1">
      <c r="A28" s="348"/>
      <c r="B28" s="348"/>
      <c r="C28" s="351">
        <v>4122</v>
      </c>
      <c r="D28" s="422"/>
      <c r="E28" s="609"/>
      <c r="F28" s="314"/>
      <c r="G28" s="314"/>
    </row>
    <row r="29" spans="1:7" s="368" customFormat="1" ht="15" customHeight="1">
      <c r="A29" s="348"/>
      <c r="B29" s="348"/>
      <c r="C29" s="349" t="s">
        <v>35</v>
      </c>
      <c r="D29" s="419">
        <v>1749124000</v>
      </c>
      <c r="E29" s="606">
        <v>1089604000</v>
      </c>
      <c r="F29" s="104">
        <f>D29-E29</f>
        <v>659520000</v>
      </c>
      <c r="G29" s="104"/>
    </row>
    <row r="30" spans="1:7" s="371" customFormat="1" ht="15" customHeight="1">
      <c r="A30" s="352"/>
      <c r="B30" s="352"/>
      <c r="C30" s="357">
        <v>4123</v>
      </c>
      <c r="D30" s="622"/>
      <c r="E30" s="622"/>
      <c r="F30" s="584"/>
      <c r="G30" s="584"/>
    </row>
    <row r="31" spans="1:7" s="368" customFormat="1" ht="15" customHeight="1">
      <c r="A31" s="348"/>
      <c r="B31" s="348"/>
      <c r="C31" s="349" t="s">
        <v>36</v>
      </c>
      <c r="D31" s="419">
        <v>274579001</v>
      </c>
      <c r="E31" s="606">
        <v>304312000</v>
      </c>
      <c r="F31" s="104">
        <f>D31-E31</f>
        <v>-29732999</v>
      </c>
      <c r="G31" s="104"/>
    </row>
    <row r="32" spans="1:7" s="371" customFormat="1" ht="15" customHeight="1">
      <c r="A32" s="348"/>
      <c r="B32" s="348"/>
      <c r="C32" s="351">
        <v>4124</v>
      </c>
      <c r="D32" s="422"/>
      <c r="E32" s="609"/>
      <c r="F32" s="314"/>
      <c r="G32" s="314"/>
    </row>
    <row r="33" spans="1:7" s="368" customFormat="1" ht="15" customHeight="1">
      <c r="A33" s="348"/>
      <c r="B33" s="348"/>
      <c r="C33" s="349" t="s">
        <v>79</v>
      </c>
      <c r="D33" s="419">
        <v>1527346399</v>
      </c>
      <c r="E33" s="606">
        <v>1482483000</v>
      </c>
      <c r="F33" s="104">
        <f>D33-E33</f>
        <v>44863399</v>
      </c>
      <c r="G33" s="104"/>
    </row>
    <row r="34" spans="1:7" s="371" customFormat="1" ht="15" customHeight="1">
      <c r="A34" s="348"/>
      <c r="B34" s="348"/>
      <c r="C34" s="351">
        <v>4125</v>
      </c>
      <c r="D34" s="422"/>
      <c r="E34" s="609"/>
      <c r="F34" s="314"/>
      <c r="G34" s="314"/>
    </row>
    <row r="35" spans="1:7" s="368" customFormat="1" ht="15" customHeight="1">
      <c r="A35" s="348"/>
      <c r="B35" s="348"/>
      <c r="C35" s="349" t="s">
        <v>37</v>
      </c>
      <c r="D35" s="419">
        <v>334665000</v>
      </c>
      <c r="E35" s="606">
        <v>158505260</v>
      </c>
      <c r="F35" s="104">
        <f>D35-E35</f>
        <v>176159740</v>
      </c>
      <c r="G35" s="104"/>
    </row>
    <row r="36" spans="1:7" s="371" customFormat="1" ht="15" customHeight="1">
      <c r="A36" s="348"/>
      <c r="B36" s="348"/>
      <c r="C36" s="351">
        <v>4127</v>
      </c>
      <c r="D36" s="422"/>
      <c r="E36" s="609"/>
      <c r="F36" s="314"/>
      <c r="G36" s="314"/>
    </row>
    <row r="37" spans="1:7" s="368" customFormat="1" ht="15" customHeight="1">
      <c r="A37" s="352"/>
      <c r="B37" s="352"/>
      <c r="C37" s="349" t="s">
        <v>38</v>
      </c>
      <c r="D37" s="419">
        <v>41310150</v>
      </c>
      <c r="E37" s="606">
        <v>675999000</v>
      </c>
      <c r="F37" s="104">
        <f>D37-E37</f>
        <v>-634688850</v>
      </c>
      <c r="G37" s="104"/>
    </row>
    <row r="38" spans="1:7" s="368" customFormat="1" ht="15" customHeight="1">
      <c r="A38" s="344">
        <v>4200</v>
      </c>
      <c r="B38" s="359"/>
      <c r="C38" s="353"/>
      <c r="D38" s="422"/>
      <c r="E38" s="609"/>
      <c r="F38" s="314"/>
      <c r="G38" s="314"/>
    </row>
    <row r="39" spans="1:7" s="368" customFormat="1" ht="15" customHeight="1">
      <c r="A39" s="354" t="s">
        <v>39</v>
      </c>
      <c r="B39" s="356"/>
      <c r="C39" s="349"/>
      <c r="D39" s="419">
        <f>SUM(D41+D55+D73)</f>
        <v>10315595941</v>
      </c>
      <c r="E39" s="606">
        <f>SUM(E41+E55+E73)</f>
        <v>9683970735</v>
      </c>
      <c r="F39" s="104">
        <f>D39-E39</f>
        <v>631625206</v>
      </c>
      <c r="G39" s="104"/>
    </row>
    <row r="40" spans="1:7" s="371" customFormat="1" ht="15" customHeight="1">
      <c r="A40" s="354"/>
      <c r="B40" s="344">
        <v>4210</v>
      </c>
      <c r="C40" s="355"/>
      <c r="D40" s="420"/>
      <c r="E40" s="607"/>
      <c r="F40" s="323"/>
      <c r="G40" s="323"/>
    </row>
    <row r="41" spans="1:7" s="368" customFormat="1" ht="15" customHeight="1">
      <c r="A41" s="354"/>
      <c r="B41" s="354" t="s">
        <v>45</v>
      </c>
      <c r="C41" s="349"/>
      <c r="D41" s="419">
        <f>SUM(D43:D53)</f>
        <v>2440724860</v>
      </c>
      <c r="E41" s="606">
        <f>SUM(E43:E53)</f>
        <v>1069933735</v>
      </c>
      <c r="F41" s="104">
        <f>D41-E41</f>
        <v>1370791125</v>
      </c>
      <c r="G41" s="104"/>
    </row>
    <row r="42" spans="1:7" s="374" customFormat="1" ht="15" customHeight="1">
      <c r="A42" s="360"/>
      <c r="B42" s="348"/>
      <c r="C42" s="351">
        <v>4211</v>
      </c>
      <c r="D42" s="429"/>
      <c r="E42" s="615"/>
      <c r="F42" s="105"/>
      <c r="G42" s="105"/>
    </row>
    <row r="43" spans="1:7" s="368" customFormat="1" ht="15" customHeight="1">
      <c r="A43" s="348"/>
      <c r="B43" s="348"/>
      <c r="C43" s="349" t="s">
        <v>40</v>
      </c>
      <c r="D43" s="419">
        <v>1049921850</v>
      </c>
      <c r="E43" s="606">
        <v>408030000</v>
      </c>
      <c r="F43" s="104">
        <f>D43-E43</f>
        <v>641891850</v>
      </c>
      <c r="G43" s="104"/>
    </row>
    <row r="44" spans="1:7" s="374" customFormat="1" ht="15" customHeight="1">
      <c r="A44" s="360"/>
      <c r="B44" s="348"/>
      <c r="C44" s="351">
        <v>4212</v>
      </c>
      <c r="D44" s="429"/>
      <c r="E44" s="615"/>
      <c r="F44" s="105"/>
      <c r="G44" s="105"/>
    </row>
    <row r="45" spans="1:7" s="368" customFormat="1" ht="15" customHeight="1">
      <c r="A45" s="348"/>
      <c r="B45" s="348"/>
      <c r="C45" s="349" t="s">
        <v>41</v>
      </c>
      <c r="D45" s="419">
        <v>48306000</v>
      </c>
      <c r="E45" s="606">
        <v>12600000</v>
      </c>
      <c r="F45" s="104">
        <f>D45-E45</f>
        <v>35706000</v>
      </c>
      <c r="G45" s="104"/>
    </row>
    <row r="46" spans="1:7" s="597" customFormat="1" ht="15" customHeight="1">
      <c r="A46" s="591"/>
      <c r="B46" s="591"/>
      <c r="C46" s="593">
        <v>4213</v>
      </c>
      <c r="D46" s="607"/>
      <c r="E46" s="607"/>
      <c r="F46" s="580"/>
      <c r="G46" s="580"/>
    </row>
    <row r="47" spans="1:7" s="597" customFormat="1" ht="15" customHeight="1">
      <c r="A47" s="591"/>
      <c r="B47" s="591"/>
      <c r="C47" s="596" t="s">
        <v>1023</v>
      </c>
      <c r="D47" s="607">
        <v>28200000</v>
      </c>
      <c r="E47" s="607">
        <v>0</v>
      </c>
      <c r="F47" s="580">
        <f>D47-E47</f>
        <v>28200000</v>
      </c>
      <c r="G47" s="580"/>
    </row>
    <row r="48" spans="1:7" s="374" customFormat="1" ht="15" customHeight="1">
      <c r="A48" s="360"/>
      <c r="B48" s="348"/>
      <c r="C48" s="351">
        <v>4215</v>
      </c>
      <c r="D48" s="429"/>
      <c r="E48" s="615"/>
      <c r="F48" s="105"/>
      <c r="G48" s="105"/>
    </row>
    <row r="49" spans="1:7" s="368" customFormat="1" ht="15" customHeight="1">
      <c r="A49" s="348"/>
      <c r="B49" s="348"/>
      <c r="C49" s="349" t="s">
        <v>43</v>
      </c>
      <c r="D49" s="419">
        <v>679143275</v>
      </c>
      <c r="E49" s="606">
        <v>328408000</v>
      </c>
      <c r="F49" s="104">
        <f>D49-E49</f>
        <v>350735275</v>
      </c>
      <c r="G49" s="104"/>
    </row>
    <row r="50" spans="1:7" s="374" customFormat="1" ht="15" customHeight="1">
      <c r="A50" s="360"/>
      <c r="B50" s="360"/>
      <c r="C50" s="351">
        <v>4216</v>
      </c>
      <c r="D50" s="429"/>
      <c r="E50" s="615"/>
      <c r="F50" s="105"/>
      <c r="G50" s="105"/>
    </row>
    <row r="51" spans="1:7" s="368" customFormat="1" ht="15" customHeight="1">
      <c r="A51" s="348"/>
      <c r="B51" s="1086"/>
      <c r="C51" s="349" t="s">
        <v>44</v>
      </c>
      <c r="D51" s="419">
        <v>6915735</v>
      </c>
      <c r="E51" s="606">
        <v>2415735</v>
      </c>
      <c r="F51" s="104">
        <f>D51-E51</f>
        <v>4500000</v>
      </c>
      <c r="G51" s="104"/>
    </row>
    <row r="52" spans="1:7" s="374" customFormat="1" ht="15" customHeight="1">
      <c r="A52" s="360"/>
      <c r="B52" s="1086"/>
      <c r="C52" s="351">
        <v>4217</v>
      </c>
      <c r="D52" s="429"/>
      <c r="E52" s="615"/>
      <c r="F52" s="105"/>
      <c r="G52" s="105"/>
    </row>
    <row r="53" spans="1:7" s="368" customFormat="1" ht="15" customHeight="1">
      <c r="A53" s="348"/>
      <c r="B53" s="1087"/>
      <c r="C53" s="349" t="s">
        <v>129</v>
      </c>
      <c r="D53" s="419">
        <v>628238000</v>
      </c>
      <c r="E53" s="606">
        <v>318480000</v>
      </c>
      <c r="F53" s="104">
        <f>D53-E53</f>
        <v>309758000</v>
      </c>
      <c r="G53" s="104"/>
    </row>
    <row r="54" spans="1:7" s="374" customFormat="1" ht="15" customHeight="1">
      <c r="A54" s="360"/>
      <c r="B54" s="344">
        <v>4220</v>
      </c>
      <c r="C54" s="350"/>
      <c r="D54" s="421"/>
      <c r="E54" s="608"/>
      <c r="F54" s="376"/>
      <c r="G54" s="376"/>
    </row>
    <row r="55" spans="1:7" s="368" customFormat="1" ht="15" customHeight="1">
      <c r="A55" s="348"/>
      <c r="B55" s="354" t="s">
        <v>82</v>
      </c>
      <c r="C55" s="349"/>
      <c r="D55" s="419">
        <f>SUM(D57:D71)</f>
        <v>1812101541</v>
      </c>
      <c r="E55" s="606">
        <f>SUM(E57:E71)</f>
        <v>1367370000</v>
      </c>
      <c r="F55" s="104">
        <f>D55-E55</f>
        <v>444731541</v>
      </c>
      <c r="G55" s="104"/>
    </row>
    <row r="56" spans="1:7" s="374" customFormat="1" ht="15" customHeight="1">
      <c r="A56" s="360"/>
      <c r="B56" s="360"/>
      <c r="C56" s="351">
        <v>4221</v>
      </c>
      <c r="D56" s="429"/>
      <c r="E56" s="615"/>
      <c r="F56" s="105"/>
      <c r="G56" s="105"/>
    </row>
    <row r="57" spans="1:7" s="368" customFormat="1" ht="15" customHeight="1">
      <c r="A57" s="348"/>
      <c r="B57" s="348"/>
      <c r="C57" s="349" t="s">
        <v>46</v>
      </c>
      <c r="D57" s="419">
        <v>241499468</v>
      </c>
      <c r="E57" s="606">
        <v>214300000</v>
      </c>
      <c r="F57" s="104">
        <f>D57-E57</f>
        <v>27199468</v>
      </c>
      <c r="G57" s="104"/>
    </row>
    <row r="58" spans="1:7" s="374" customFormat="1" ht="15" customHeight="1">
      <c r="A58" s="360"/>
      <c r="B58" s="360"/>
      <c r="C58" s="351">
        <v>4223</v>
      </c>
      <c r="D58" s="429"/>
      <c r="E58" s="615"/>
      <c r="F58" s="105"/>
      <c r="G58" s="105"/>
    </row>
    <row r="59" spans="1:7" s="368" customFormat="1" ht="15" customHeight="1">
      <c r="A59" s="348"/>
      <c r="B59" s="348"/>
      <c r="C59" s="349" t="s">
        <v>48</v>
      </c>
      <c r="D59" s="419">
        <v>457794000</v>
      </c>
      <c r="E59" s="606">
        <v>368350000</v>
      </c>
      <c r="F59" s="104">
        <f>D59-E59</f>
        <v>89444000</v>
      </c>
      <c r="G59" s="104"/>
    </row>
    <row r="60" spans="1:7" s="374" customFormat="1" ht="15" customHeight="1">
      <c r="A60" s="360"/>
      <c r="B60" s="360"/>
      <c r="C60" s="351">
        <v>4224</v>
      </c>
      <c r="D60" s="429"/>
      <c r="E60" s="615"/>
      <c r="F60" s="105"/>
      <c r="G60" s="105"/>
    </row>
    <row r="61" spans="1:7" s="368" customFormat="1" ht="15" customHeight="1">
      <c r="A61" s="348"/>
      <c r="B61" s="348"/>
      <c r="C61" s="349" t="s">
        <v>83</v>
      </c>
      <c r="D61" s="419">
        <v>124200000</v>
      </c>
      <c r="E61" s="606">
        <v>109000000</v>
      </c>
      <c r="F61" s="104">
        <f>D61-E61</f>
        <v>15200000</v>
      </c>
      <c r="G61" s="104"/>
    </row>
    <row r="62" spans="1:7" s="374" customFormat="1" ht="15" customHeight="1">
      <c r="A62" s="375"/>
      <c r="B62" s="375"/>
      <c r="C62" s="357">
        <v>4225</v>
      </c>
      <c r="D62" s="619"/>
      <c r="E62" s="619"/>
      <c r="F62" s="599"/>
      <c r="G62" s="599"/>
    </row>
    <row r="63" spans="1:7" s="368" customFormat="1" ht="15" customHeight="1">
      <c r="A63" s="348"/>
      <c r="B63" s="348"/>
      <c r="C63" s="349" t="s">
        <v>84</v>
      </c>
      <c r="D63" s="419">
        <v>435000000</v>
      </c>
      <c r="E63" s="606">
        <v>345000000</v>
      </c>
      <c r="F63" s="104">
        <f>D63-E63</f>
        <v>90000000</v>
      </c>
      <c r="G63" s="104"/>
    </row>
    <row r="64" spans="1:7" s="374" customFormat="1" ht="15" customHeight="1">
      <c r="A64" s="360"/>
      <c r="B64" s="360"/>
      <c r="C64" s="594">
        <v>4226</v>
      </c>
      <c r="D64" s="615"/>
      <c r="E64" s="615"/>
      <c r="F64" s="574"/>
      <c r="G64" s="574"/>
    </row>
    <row r="65" spans="1:7" s="368" customFormat="1" ht="15" customHeight="1">
      <c r="A65" s="348"/>
      <c r="B65" s="348"/>
      <c r="C65" s="349" t="s">
        <v>85</v>
      </c>
      <c r="D65" s="419">
        <v>323000000</v>
      </c>
      <c r="E65" s="606">
        <v>175000000</v>
      </c>
      <c r="F65" s="104">
        <f>D65-E65</f>
        <v>148000000</v>
      </c>
      <c r="G65" s="104"/>
    </row>
    <row r="66" spans="1:7" s="374" customFormat="1" ht="15" customHeight="1">
      <c r="A66" s="360"/>
      <c r="B66" s="360"/>
      <c r="C66" s="351">
        <v>4227</v>
      </c>
      <c r="D66" s="429"/>
      <c r="E66" s="615"/>
      <c r="F66" s="105"/>
      <c r="G66" s="105"/>
    </row>
    <row r="67" spans="1:7" s="368" customFormat="1" ht="15" customHeight="1">
      <c r="A67" s="348"/>
      <c r="B67" s="348"/>
      <c r="C67" s="349" t="s">
        <v>49</v>
      </c>
      <c r="D67" s="419">
        <v>37600000</v>
      </c>
      <c r="E67" s="606">
        <v>26600000</v>
      </c>
      <c r="F67" s="104">
        <f>D67-E67</f>
        <v>11000000</v>
      </c>
      <c r="G67" s="104"/>
    </row>
    <row r="68" spans="1:7" s="374" customFormat="1" ht="15" customHeight="1">
      <c r="A68" s="360"/>
      <c r="B68" s="360"/>
      <c r="C68" s="351">
        <v>4228</v>
      </c>
      <c r="D68" s="429"/>
      <c r="E68" s="615"/>
      <c r="F68" s="105"/>
      <c r="G68" s="105"/>
    </row>
    <row r="69" spans="1:7" s="368" customFormat="1" ht="15" customHeight="1">
      <c r="A69" s="348"/>
      <c r="B69" s="348"/>
      <c r="C69" s="349" t="s">
        <v>50</v>
      </c>
      <c r="D69" s="419">
        <v>180398975</v>
      </c>
      <c r="E69" s="606">
        <v>122800000</v>
      </c>
      <c r="F69" s="104">
        <f>D69-E69</f>
        <v>57598975</v>
      </c>
      <c r="G69" s="104"/>
    </row>
    <row r="70" spans="1:7" s="374" customFormat="1" ht="15" customHeight="1">
      <c r="A70" s="360"/>
      <c r="B70" s="360"/>
      <c r="C70" s="351">
        <v>4229</v>
      </c>
      <c r="D70" s="429"/>
      <c r="E70" s="615"/>
      <c r="F70" s="105"/>
      <c r="G70" s="105"/>
    </row>
    <row r="71" spans="1:7" s="368" customFormat="1" ht="15" customHeight="1">
      <c r="A71" s="348"/>
      <c r="B71" s="352"/>
      <c r="C71" s="349" t="s">
        <v>86</v>
      </c>
      <c r="D71" s="419">
        <v>12609098</v>
      </c>
      <c r="E71" s="606">
        <v>6320000</v>
      </c>
      <c r="F71" s="104">
        <f>D71-E71</f>
        <v>6289098</v>
      </c>
      <c r="G71" s="104"/>
    </row>
    <row r="72" spans="1:7" s="374" customFormat="1" ht="15" customHeight="1">
      <c r="A72" s="360"/>
      <c r="B72" s="344">
        <v>4230</v>
      </c>
      <c r="C72" s="350"/>
      <c r="D72" s="421"/>
      <c r="E72" s="608"/>
      <c r="F72" s="376"/>
      <c r="G72" s="376"/>
    </row>
    <row r="73" spans="1:7" s="368" customFormat="1" ht="15" customHeight="1">
      <c r="A73" s="348"/>
      <c r="B73" s="476" t="s">
        <v>57</v>
      </c>
      <c r="C73" s="349"/>
      <c r="D73" s="419">
        <f>SUM(D75:D89)</f>
        <v>6062769540</v>
      </c>
      <c r="E73" s="606">
        <f>SUM(E75:E89)</f>
        <v>7246667000</v>
      </c>
      <c r="F73" s="104">
        <f>D73-E73</f>
        <v>-1183897460</v>
      </c>
      <c r="G73" s="104"/>
    </row>
    <row r="74" spans="1:7" s="374" customFormat="1" ht="15" customHeight="1">
      <c r="A74" s="360"/>
      <c r="B74" s="348"/>
      <c r="C74" s="351">
        <v>4231</v>
      </c>
      <c r="D74" s="429"/>
      <c r="E74" s="615"/>
      <c r="F74" s="105"/>
      <c r="G74" s="105"/>
    </row>
    <row r="75" spans="1:7" s="368" customFormat="1" ht="15" customHeight="1">
      <c r="A75" s="348"/>
      <c r="B75" s="348"/>
      <c r="C75" s="349" t="s">
        <v>51</v>
      </c>
      <c r="D75" s="419">
        <v>416252900</v>
      </c>
      <c r="E75" s="606">
        <v>628498000</v>
      </c>
      <c r="F75" s="104">
        <f>D75-E75</f>
        <v>-212245100</v>
      </c>
      <c r="G75" s="104"/>
    </row>
    <row r="76" spans="1:7" s="374" customFormat="1" ht="15" customHeight="1">
      <c r="A76" s="360"/>
      <c r="B76" s="348"/>
      <c r="C76" s="351">
        <v>4232</v>
      </c>
      <c r="D76" s="429"/>
      <c r="E76" s="615"/>
      <c r="F76" s="105"/>
      <c r="G76" s="105"/>
    </row>
    <row r="77" spans="1:7" s="368" customFormat="1" ht="15" customHeight="1">
      <c r="A77" s="348"/>
      <c r="B77" s="348"/>
      <c r="C77" s="349" t="s">
        <v>52</v>
      </c>
      <c r="D77" s="419">
        <v>217605000</v>
      </c>
      <c r="E77" s="606">
        <v>213605000</v>
      </c>
      <c r="F77" s="104">
        <f>D77-E77</f>
        <v>4000000</v>
      </c>
      <c r="G77" s="104"/>
    </row>
    <row r="78" spans="1:7" s="374" customFormat="1" ht="15" customHeight="1">
      <c r="A78" s="360"/>
      <c r="B78" s="360"/>
      <c r="C78" s="351">
        <v>4233</v>
      </c>
      <c r="D78" s="429"/>
      <c r="E78" s="615"/>
      <c r="F78" s="105"/>
      <c r="G78" s="105"/>
    </row>
    <row r="79" spans="1:7" s="368" customFormat="1" ht="15" customHeight="1">
      <c r="A79" s="348"/>
      <c r="B79" s="348"/>
      <c r="C79" s="349" t="s">
        <v>317</v>
      </c>
      <c r="D79" s="419">
        <v>390084000</v>
      </c>
      <c r="E79" s="606">
        <v>292080000</v>
      </c>
      <c r="F79" s="104">
        <f>D79-E79</f>
        <v>98004000</v>
      </c>
      <c r="G79" s="104"/>
    </row>
    <row r="80" spans="1:7" s="374" customFormat="1" ht="15" customHeight="1">
      <c r="A80" s="348"/>
      <c r="B80" s="348"/>
      <c r="C80" s="351">
        <v>4234</v>
      </c>
      <c r="D80" s="429"/>
      <c r="E80" s="615"/>
      <c r="F80" s="105"/>
      <c r="G80" s="105"/>
    </row>
    <row r="81" spans="1:7" s="368" customFormat="1" ht="15" customHeight="1">
      <c r="A81" s="348"/>
      <c r="B81" s="348"/>
      <c r="C81" s="349" t="s">
        <v>87</v>
      </c>
      <c r="D81" s="419">
        <v>489600000</v>
      </c>
      <c r="E81" s="606">
        <v>464400000</v>
      </c>
      <c r="F81" s="104">
        <f>D81-E81</f>
        <v>25200000</v>
      </c>
      <c r="G81" s="104"/>
    </row>
    <row r="82" spans="1:7" s="374" customFormat="1" ht="15" customHeight="1">
      <c r="A82" s="348"/>
      <c r="B82" s="348"/>
      <c r="C82" s="351">
        <v>4235</v>
      </c>
      <c r="D82" s="429"/>
      <c r="E82" s="615"/>
      <c r="F82" s="105"/>
      <c r="G82" s="105"/>
    </row>
    <row r="83" spans="1:7" s="368" customFormat="1" ht="15" customHeight="1">
      <c r="A83" s="348"/>
      <c r="B83" s="348"/>
      <c r="C83" s="349" t="s">
        <v>53</v>
      </c>
      <c r="D83" s="419">
        <v>1681446000</v>
      </c>
      <c r="E83" s="606">
        <v>1868462000</v>
      </c>
      <c r="F83" s="104">
        <f>D83-E83</f>
        <v>-187016000</v>
      </c>
      <c r="G83" s="104"/>
    </row>
    <row r="84" spans="1:7" s="374" customFormat="1" ht="15" customHeight="1">
      <c r="A84" s="348"/>
      <c r="B84" s="348"/>
      <c r="C84" s="351">
        <v>4236</v>
      </c>
      <c r="D84" s="429"/>
      <c r="E84" s="615"/>
      <c r="F84" s="105"/>
      <c r="G84" s="105"/>
    </row>
    <row r="85" spans="1:7" s="368" customFormat="1" ht="15" customHeight="1">
      <c r="A85" s="348"/>
      <c r="B85" s="348"/>
      <c r="C85" s="349" t="s">
        <v>54</v>
      </c>
      <c r="D85" s="419">
        <v>150312000</v>
      </c>
      <c r="E85" s="606">
        <v>134312000</v>
      </c>
      <c r="F85" s="104">
        <f>D85-E85</f>
        <v>16000000</v>
      </c>
      <c r="G85" s="104"/>
    </row>
    <row r="86" spans="1:7" s="374" customFormat="1" ht="15" customHeight="1">
      <c r="A86" s="348"/>
      <c r="B86" s="348"/>
      <c r="C86" s="351">
        <v>4237</v>
      </c>
      <c r="D86" s="429"/>
      <c r="E86" s="615"/>
      <c r="F86" s="105"/>
      <c r="G86" s="105"/>
    </row>
    <row r="87" spans="1:7" s="368" customFormat="1" ht="15" customHeight="1">
      <c r="A87" s="348"/>
      <c r="B87" s="348"/>
      <c r="C87" s="349" t="s">
        <v>55</v>
      </c>
      <c r="D87" s="419">
        <v>487950640</v>
      </c>
      <c r="E87" s="606">
        <v>608530000</v>
      </c>
      <c r="F87" s="104">
        <f>D87-E87</f>
        <v>-120579360</v>
      </c>
      <c r="G87" s="104"/>
    </row>
    <row r="88" spans="1:7" s="374" customFormat="1" ht="15" customHeight="1">
      <c r="A88" s="348"/>
      <c r="B88" s="348"/>
      <c r="C88" s="351">
        <v>4239</v>
      </c>
      <c r="D88" s="429"/>
      <c r="E88" s="615"/>
      <c r="F88" s="105"/>
      <c r="G88" s="105"/>
    </row>
    <row r="89" spans="1:7" s="368" customFormat="1" ht="15" customHeight="1">
      <c r="A89" s="352"/>
      <c r="B89" s="352"/>
      <c r="C89" s="349" t="s">
        <v>56</v>
      </c>
      <c r="D89" s="419">
        <v>2229519000</v>
      </c>
      <c r="E89" s="606">
        <v>3036780000</v>
      </c>
      <c r="F89" s="104">
        <f>D89-E89</f>
        <v>-807261000</v>
      </c>
      <c r="G89" s="104"/>
    </row>
    <row r="90" spans="1:7" s="374" customFormat="1" ht="15" customHeight="1">
      <c r="A90" s="344">
        <v>4300</v>
      </c>
      <c r="B90" s="344"/>
      <c r="C90" s="351"/>
      <c r="D90" s="429"/>
      <c r="E90" s="615"/>
      <c r="F90" s="105"/>
      <c r="G90" s="105"/>
    </row>
    <row r="91" spans="1:7" s="368" customFormat="1" ht="15" customHeight="1">
      <c r="A91" s="476" t="s">
        <v>58</v>
      </c>
      <c r="B91" s="477"/>
      <c r="C91" s="349"/>
      <c r="D91" s="419">
        <f>SUM(D93+D97+D111)</f>
        <v>40146655251</v>
      </c>
      <c r="E91" s="606">
        <f>SUM(E93+E97+E111)</f>
        <v>29961855096</v>
      </c>
      <c r="F91" s="104">
        <f>D91-E91</f>
        <v>10184800155</v>
      </c>
      <c r="G91" s="104"/>
    </row>
    <row r="92" spans="1:7" s="374" customFormat="1" ht="15" customHeight="1">
      <c r="A92" s="348"/>
      <c r="B92" s="344">
        <v>4310</v>
      </c>
      <c r="C92" s="351"/>
      <c r="D92" s="429"/>
      <c r="E92" s="615"/>
      <c r="F92" s="105"/>
      <c r="G92" s="105"/>
    </row>
    <row r="93" spans="1:7" s="368" customFormat="1" ht="15" customHeight="1">
      <c r="A93" s="348"/>
      <c r="B93" s="476" t="s">
        <v>59</v>
      </c>
      <c r="C93" s="349"/>
      <c r="D93" s="419">
        <f>SUM(D95)</f>
        <v>3381648853</v>
      </c>
      <c r="E93" s="606">
        <f>SUM(E95)</f>
        <v>2415732000</v>
      </c>
      <c r="F93" s="104">
        <f>D93-E93</f>
        <v>965916853</v>
      </c>
      <c r="G93" s="104"/>
    </row>
    <row r="94" spans="1:7" s="374" customFormat="1" ht="15" customHeight="1">
      <c r="A94" s="352"/>
      <c r="B94" s="352"/>
      <c r="C94" s="357">
        <v>4311</v>
      </c>
      <c r="D94" s="619"/>
      <c r="E94" s="619"/>
      <c r="F94" s="599"/>
      <c r="G94" s="599"/>
    </row>
    <row r="95" spans="1:7" s="368" customFormat="1" ht="15" customHeight="1">
      <c r="A95" s="348"/>
      <c r="B95" s="352"/>
      <c r="C95" s="349" t="s">
        <v>59</v>
      </c>
      <c r="D95" s="419">
        <v>3381648853</v>
      </c>
      <c r="E95" s="606">
        <v>2415732000</v>
      </c>
      <c r="F95" s="104">
        <f>D95-E95</f>
        <v>965916853</v>
      </c>
      <c r="G95" s="378"/>
    </row>
    <row r="96" spans="1:7" s="374" customFormat="1" ht="15" customHeight="1">
      <c r="A96" s="591"/>
      <c r="B96" s="590">
        <v>4320</v>
      </c>
      <c r="C96" s="594"/>
      <c r="D96" s="615"/>
      <c r="E96" s="615"/>
      <c r="F96" s="574"/>
      <c r="G96" s="379"/>
    </row>
    <row r="97" spans="1:7" s="368" customFormat="1" ht="15" customHeight="1">
      <c r="A97" s="348"/>
      <c r="B97" s="476" t="s">
        <v>60</v>
      </c>
      <c r="C97" s="349"/>
      <c r="D97" s="419">
        <f>SUM(D99:D109)</f>
        <v>31366809892</v>
      </c>
      <c r="E97" s="606">
        <f>SUM(E99:E109)</f>
        <v>23137573096</v>
      </c>
      <c r="F97" s="104">
        <f>D97-E97</f>
        <v>8229236796</v>
      </c>
      <c r="G97" s="104"/>
    </row>
    <row r="98" spans="1:7" s="374" customFormat="1" ht="15" customHeight="1">
      <c r="A98" s="348"/>
      <c r="B98" s="348"/>
      <c r="C98" s="351">
        <v>4321</v>
      </c>
      <c r="D98" s="429"/>
      <c r="E98" s="615"/>
      <c r="F98" s="105"/>
      <c r="G98" s="105"/>
    </row>
    <row r="99" spans="1:7" s="368" customFormat="1" ht="15" customHeight="1">
      <c r="A99" s="348"/>
      <c r="B99" s="348"/>
      <c r="C99" s="349" t="s">
        <v>101</v>
      </c>
      <c r="D99" s="419">
        <v>21637224560</v>
      </c>
      <c r="E99" s="606">
        <v>14902095000</v>
      </c>
      <c r="F99" s="104">
        <f>D99-E99</f>
        <v>6735129560</v>
      </c>
      <c r="G99" s="104"/>
    </row>
    <row r="100" spans="1:7" s="374" customFormat="1" ht="15" customHeight="1">
      <c r="A100" s="348"/>
      <c r="B100" s="348"/>
      <c r="C100" s="351">
        <v>4322</v>
      </c>
      <c r="D100" s="429"/>
      <c r="E100" s="615"/>
      <c r="F100" s="105"/>
      <c r="G100" s="105"/>
    </row>
    <row r="101" spans="1:7" s="368" customFormat="1" ht="15" customHeight="1">
      <c r="A101" s="348"/>
      <c r="B101" s="348"/>
      <c r="C101" s="349" t="s">
        <v>739</v>
      </c>
      <c r="D101" s="419">
        <v>3872342500</v>
      </c>
      <c r="E101" s="606">
        <v>3780548000</v>
      </c>
      <c r="F101" s="104">
        <f>D101-E101</f>
        <v>91794500</v>
      </c>
      <c r="G101" s="380"/>
    </row>
    <row r="102" spans="1:7" s="374" customFormat="1" ht="15" customHeight="1">
      <c r="A102" s="348"/>
      <c r="B102" s="348"/>
      <c r="C102" s="351">
        <v>4323</v>
      </c>
      <c r="D102" s="429"/>
      <c r="E102" s="615"/>
      <c r="F102" s="105"/>
      <c r="G102" s="381"/>
    </row>
    <row r="103" spans="1:7" s="368" customFormat="1" ht="15" customHeight="1">
      <c r="A103" s="348"/>
      <c r="B103" s="348"/>
      <c r="C103" s="349" t="s">
        <v>131</v>
      </c>
      <c r="D103" s="419">
        <v>751088807</v>
      </c>
      <c r="E103" s="606">
        <v>232103000</v>
      </c>
      <c r="F103" s="104">
        <f>D103-E103</f>
        <v>518985807</v>
      </c>
      <c r="G103" s="104"/>
    </row>
    <row r="104" spans="1:7" s="374" customFormat="1" ht="15" customHeight="1">
      <c r="A104" s="348"/>
      <c r="B104" s="348"/>
      <c r="C104" s="351">
        <v>4324</v>
      </c>
      <c r="D104" s="429"/>
      <c r="E104" s="615"/>
      <c r="F104" s="105"/>
      <c r="G104" s="105"/>
    </row>
    <row r="105" spans="1:7" s="368" customFormat="1" ht="15" customHeight="1">
      <c r="A105" s="348"/>
      <c r="B105" s="348"/>
      <c r="C105" s="349" t="s">
        <v>61</v>
      </c>
      <c r="D105" s="419">
        <v>152220000</v>
      </c>
      <c r="E105" s="606">
        <v>143480000</v>
      </c>
      <c r="F105" s="104">
        <f>D105-E105</f>
        <v>8740000</v>
      </c>
      <c r="G105" s="104"/>
    </row>
    <row r="106" spans="1:7" s="374" customFormat="1" ht="15" customHeight="1">
      <c r="A106" s="348"/>
      <c r="B106" s="348"/>
      <c r="C106" s="351">
        <v>4325</v>
      </c>
      <c r="D106" s="429"/>
      <c r="E106" s="615"/>
      <c r="F106" s="105"/>
      <c r="G106" s="105"/>
    </row>
    <row r="107" spans="1:7" s="368" customFormat="1" ht="15" customHeight="1">
      <c r="A107" s="348"/>
      <c r="B107" s="348"/>
      <c r="C107" s="349" t="s">
        <v>62</v>
      </c>
      <c r="D107" s="419">
        <v>2460548037</v>
      </c>
      <c r="E107" s="606">
        <v>2075257596</v>
      </c>
      <c r="F107" s="104">
        <f>D107-E107</f>
        <v>385290441</v>
      </c>
      <c r="G107" s="104"/>
    </row>
    <row r="108" spans="1:7" s="374" customFormat="1" ht="15" customHeight="1">
      <c r="A108" s="360"/>
      <c r="B108" s="360"/>
      <c r="C108" s="351">
        <v>4329</v>
      </c>
      <c r="D108" s="429"/>
      <c r="E108" s="615"/>
      <c r="F108" s="105"/>
      <c r="G108" s="105"/>
    </row>
    <row r="109" spans="1:7" s="368" customFormat="1" ht="15" customHeight="1">
      <c r="A109" s="348"/>
      <c r="B109" s="352"/>
      <c r="C109" s="349" t="s">
        <v>63</v>
      </c>
      <c r="D109" s="419">
        <v>2493385988</v>
      </c>
      <c r="E109" s="606">
        <v>2004089500</v>
      </c>
      <c r="F109" s="104">
        <f>D109-E109</f>
        <v>489296488</v>
      </c>
      <c r="G109" s="104"/>
    </row>
    <row r="110" spans="1:7" s="374" customFormat="1" ht="15" customHeight="1">
      <c r="A110" s="348"/>
      <c r="B110" s="344">
        <v>4330</v>
      </c>
      <c r="C110" s="351"/>
      <c r="D110" s="429"/>
      <c r="E110" s="615"/>
      <c r="F110" s="105"/>
      <c r="G110" s="105"/>
    </row>
    <row r="111" spans="1:7" s="368" customFormat="1" ht="15" customHeight="1">
      <c r="A111" s="348"/>
      <c r="B111" s="354" t="s">
        <v>89</v>
      </c>
      <c r="C111" s="349"/>
      <c r="D111" s="419">
        <f>SUM(D113:D115)</f>
        <v>5398196506</v>
      </c>
      <c r="E111" s="606">
        <f>SUM(E113:E115)</f>
        <v>4408550000</v>
      </c>
      <c r="F111" s="104">
        <f>D111-E111</f>
        <v>989646506</v>
      </c>
      <c r="G111" s="104"/>
    </row>
    <row r="112" spans="1:7" s="374" customFormat="1" ht="15" customHeight="1">
      <c r="A112" s="348"/>
      <c r="B112" s="348"/>
      <c r="C112" s="351">
        <v>4331</v>
      </c>
      <c r="D112" s="429"/>
      <c r="E112" s="615"/>
      <c r="F112" s="105"/>
      <c r="G112" s="105"/>
    </row>
    <row r="113" spans="1:7" s="368" customFormat="1" ht="15" customHeight="1">
      <c r="A113" s="348"/>
      <c r="B113" s="348"/>
      <c r="C113" s="349" t="s">
        <v>64</v>
      </c>
      <c r="D113" s="428">
        <v>1778637250</v>
      </c>
      <c r="E113" s="614">
        <v>1399590000</v>
      </c>
      <c r="F113" s="329">
        <f>D113-E113</f>
        <v>379047250</v>
      </c>
      <c r="G113" s="104"/>
    </row>
    <row r="114" spans="1:7" s="374" customFormat="1" ht="15" customHeight="1">
      <c r="A114" s="348"/>
      <c r="B114" s="348"/>
      <c r="C114" s="351">
        <v>4332</v>
      </c>
      <c r="D114" s="435"/>
      <c r="E114" s="620"/>
      <c r="F114" s="383"/>
      <c r="G114" s="105"/>
    </row>
    <row r="115" spans="1:7" s="368" customFormat="1" ht="15" customHeight="1">
      <c r="A115" s="352"/>
      <c r="B115" s="352"/>
      <c r="C115" s="349" t="s">
        <v>133</v>
      </c>
      <c r="D115" s="428">
        <v>3619559256</v>
      </c>
      <c r="E115" s="614">
        <v>3008960000</v>
      </c>
      <c r="F115" s="329">
        <f>D115-E115</f>
        <v>610599256</v>
      </c>
      <c r="G115" s="104"/>
    </row>
    <row r="116" spans="1:7" s="374" customFormat="1" ht="15" customHeight="1">
      <c r="A116" s="344">
        <v>4400</v>
      </c>
      <c r="B116" s="344"/>
      <c r="C116" s="351"/>
      <c r="D116" s="435"/>
      <c r="E116" s="620"/>
      <c r="F116" s="105"/>
      <c r="G116" s="105"/>
    </row>
    <row r="117" spans="1:7" s="368" customFormat="1" ht="15" customHeight="1">
      <c r="A117" s="476" t="s">
        <v>90</v>
      </c>
      <c r="B117" s="354"/>
      <c r="C117" s="349"/>
      <c r="D117" s="428">
        <f>SUM(D119+D123)</f>
        <v>1858116194</v>
      </c>
      <c r="E117" s="614">
        <f>SUM(E119+E123)</f>
        <v>908260940</v>
      </c>
      <c r="F117" s="329">
        <f>D117-E117</f>
        <v>949855254</v>
      </c>
      <c r="G117" s="104"/>
    </row>
    <row r="118" spans="1:7" s="374" customFormat="1" ht="15" customHeight="1">
      <c r="A118" s="348"/>
      <c r="B118" s="344">
        <v>4410</v>
      </c>
      <c r="C118" s="351"/>
      <c r="D118" s="435"/>
      <c r="E118" s="620"/>
      <c r="F118" s="383"/>
      <c r="G118" s="105"/>
    </row>
    <row r="119" spans="1:7" s="368" customFormat="1" ht="15" customHeight="1">
      <c r="A119" s="348"/>
      <c r="B119" s="476" t="s">
        <v>65</v>
      </c>
      <c r="C119" s="349"/>
      <c r="D119" s="419">
        <f>SUM(D121)</f>
        <v>588116194</v>
      </c>
      <c r="E119" s="606">
        <f>SUM(E121)</f>
        <v>608260940</v>
      </c>
      <c r="F119" s="104">
        <f>D119-E119</f>
        <v>-20144746</v>
      </c>
      <c r="G119" s="104"/>
    </row>
    <row r="120" spans="1:7" s="374" customFormat="1" ht="15" customHeight="1">
      <c r="A120" s="348"/>
      <c r="B120" s="348"/>
      <c r="C120" s="351">
        <v>4411</v>
      </c>
      <c r="D120" s="429"/>
      <c r="E120" s="615"/>
      <c r="F120" s="105"/>
      <c r="G120" s="105"/>
    </row>
    <row r="121" spans="1:7" s="368" customFormat="1" ht="15" customHeight="1">
      <c r="A121" s="348"/>
      <c r="B121" s="352"/>
      <c r="C121" s="349" t="s">
        <v>65</v>
      </c>
      <c r="D121" s="428">
        <v>588116194</v>
      </c>
      <c r="E121" s="614">
        <v>608260940</v>
      </c>
      <c r="F121" s="329">
        <f>D121-E121</f>
        <v>-20144746</v>
      </c>
      <c r="G121" s="384"/>
    </row>
    <row r="122" spans="1:7" s="374" customFormat="1" ht="15" customHeight="1">
      <c r="A122" s="348"/>
      <c r="B122" s="344">
        <v>4420</v>
      </c>
      <c r="C122" s="351"/>
      <c r="D122" s="435"/>
      <c r="E122" s="620"/>
      <c r="F122" s="105"/>
      <c r="G122" s="86"/>
    </row>
    <row r="123" spans="1:7" s="368" customFormat="1" ht="15" customHeight="1">
      <c r="A123" s="348"/>
      <c r="B123" s="476" t="s">
        <v>66</v>
      </c>
      <c r="C123" s="349"/>
      <c r="D123" s="419">
        <f>SUM(D125:D125)</f>
        <v>1270000000</v>
      </c>
      <c r="E123" s="606">
        <f>SUM(E125:E125)</f>
        <v>300000000</v>
      </c>
      <c r="F123" s="104">
        <f>D123-E123</f>
        <v>970000000</v>
      </c>
      <c r="G123" s="104"/>
    </row>
    <row r="124" spans="1:7" s="374" customFormat="1" ht="15" customHeight="1">
      <c r="A124" s="348"/>
      <c r="B124" s="348"/>
      <c r="C124" s="351">
        <v>4421</v>
      </c>
      <c r="D124" s="429"/>
      <c r="E124" s="615"/>
      <c r="F124" s="105"/>
      <c r="G124" s="105"/>
    </row>
    <row r="125" spans="1:7" s="368" customFormat="1" ht="15" customHeight="1">
      <c r="A125" s="352"/>
      <c r="B125" s="352"/>
      <c r="C125" s="349" t="s">
        <v>67</v>
      </c>
      <c r="D125" s="419">
        <v>1270000000</v>
      </c>
      <c r="E125" s="606">
        <v>300000000</v>
      </c>
      <c r="F125" s="104">
        <f>D125-E125</f>
        <v>970000000</v>
      </c>
      <c r="G125" s="104"/>
    </row>
    <row r="126" spans="1:7" s="374" customFormat="1" ht="15" customHeight="1">
      <c r="A126" s="377">
        <v>4500</v>
      </c>
      <c r="B126" s="377"/>
      <c r="C126" s="357"/>
      <c r="D126" s="434"/>
      <c r="E126" s="434"/>
      <c r="F126" s="599"/>
      <c r="G126" s="599"/>
    </row>
    <row r="127" spans="1:7" s="368" customFormat="1" ht="15" customHeight="1">
      <c r="A127" s="476" t="s">
        <v>68</v>
      </c>
      <c r="B127" s="356"/>
      <c r="C127" s="349"/>
      <c r="D127" s="428"/>
      <c r="E127" s="614"/>
      <c r="F127" s="329">
        <f>D127-E127</f>
        <v>0</v>
      </c>
      <c r="G127" s="104"/>
    </row>
    <row r="128" spans="1:7" s="374" customFormat="1" ht="15" customHeight="1">
      <c r="A128" s="591"/>
      <c r="B128" s="590">
        <v>4510</v>
      </c>
      <c r="C128" s="594"/>
      <c r="D128" s="620"/>
      <c r="E128" s="620"/>
      <c r="F128" s="602"/>
      <c r="G128" s="574"/>
    </row>
    <row r="129" spans="1:7" s="368" customFormat="1" ht="15" customHeight="1">
      <c r="A129" s="348"/>
      <c r="B129" s="696" t="s">
        <v>69</v>
      </c>
      <c r="C129" s="349"/>
      <c r="D129" s="428">
        <f>D131</f>
        <v>0</v>
      </c>
      <c r="E129" s="614">
        <f>E131</f>
        <v>0</v>
      </c>
      <c r="F129" s="329">
        <f>D129-E129</f>
        <v>0</v>
      </c>
      <c r="G129" s="104"/>
    </row>
    <row r="130" spans="1:7" s="368" customFormat="1" ht="15" customHeight="1">
      <c r="A130" s="348"/>
      <c r="B130" s="348"/>
      <c r="C130" s="350">
        <v>4518</v>
      </c>
      <c r="D130" s="433"/>
      <c r="E130" s="618"/>
      <c r="F130" s="372"/>
      <c r="G130" s="323"/>
    </row>
    <row r="131" spans="1:7" s="368" customFormat="1" ht="15" customHeight="1">
      <c r="A131" s="352"/>
      <c r="B131" s="352"/>
      <c r="C131" s="355" t="s">
        <v>752</v>
      </c>
      <c r="D131" s="433">
        <v>0</v>
      </c>
      <c r="E131" s="618">
        <v>0</v>
      </c>
      <c r="F131" s="372">
        <f>D131-E131</f>
        <v>0</v>
      </c>
      <c r="G131" s="323"/>
    </row>
    <row r="132" spans="1:7" s="374" customFormat="1" ht="15" customHeight="1">
      <c r="A132" s="344">
        <v>4600</v>
      </c>
      <c r="B132" s="344"/>
      <c r="C132" s="351"/>
      <c r="D132" s="435"/>
      <c r="E132" s="620"/>
      <c r="F132" s="105"/>
      <c r="G132" s="105"/>
    </row>
    <row r="133" spans="1:7" s="368" customFormat="1" ht="15" customHeight="1">
      <c r="A133" s="476" t="s">
        <v>70</v>
      </c>
      <c r="B133" s="356"/>
      <c r="C133" s="349"/>
      <c r="D133" s="428">
        <f>D135</f>
        <v>1600672812</v>
      </c>
      <c r="E133" s="614">
        <f>E135</f>
        <v>1200000000</v>
      </c>
      <c r="F133" s="329">
        <f>D133-E133</f>
        <v>400672812</v>
      </c>
      <c r="G133" s="104"/>
    </row>
    <row r="134" spans="1:7" s="374" customFormat="1" ht="15" customHeight="1">
      <c r="A134" s="348"/>
      <c r="B134" s="344">
        <v>4610</v>
      </c>
      <c r="C134" s="351"/>
      <c r="D134" s="435"/>
      <c r="E134" s="620"/>
      <c r="F134" s="383"/>
      <c r="G134" s="105"/>
    </row>
    <row r="135" spans="1:7" s="368" customFormat="1" ht="15" customHeight="1">
      <c r="A135" s="348"/>
      <c r="B135" s="354" t="s">
        <v>71</v>
      </c>
      <c r="C135" s="349"/>
      <c r="D135" s="419">
        <f aca="true" t="shared" si="1" ref="D135">D137</f>
        <v>1600672812</v>
      </c>
      <c r="E135" s="606">
        <f aca="true" t="shared" si="2" ref="E135">E137</f>
        <v>1200000000</v>
      </c>
      <c r="F135" s="104">
        <f>D135-E135</f>
        <v>400672812</v>
      </c>
      <c r="G135" s="104"/>
    </row>
    <row r="136" spans="1:7" s="374" customFormat="1" ht="15" customHeight="1">
      <c r="A136" s="360"/>
      <c r="B136" s="360"/>
      <c r="C136" s="351">
        <v>4611</v>
      </c>
      <c r="D136" s="429"/>
      <c r="E136" s="615"/>
      <c r="F136" s="105"/>
      <c r="G136" s="105"/>
    </row>
    <row r="137" spans="1:7" s="368" customFormat="1" ht="15" customHeight="1">
      <c r="A137" s="352"/>
      <c r="B137" s="352"/>
      <c r="C137" s="349" t="s">
        <v>71</v>
      </c>
      <c r="D137" s="428">
        <v>1600672812</v>
      </c>
      <c r="E137" s="614">
        <v>1200000000</v>
      </c>
      <c r="F137" s="329">
        <f>D137-E137</f>
        <v>400672812</v>
      </c>
      <c r="G137" s="384"/>
    </row>
    <row r="138" spans="1:7" s="368" customFormat="1" ht="15" customHeight="1">
      <c r="A138" s="344">
        <v>1200</v>
      </c>
      <c r="B138" s="382"/>
      <c r="C138" s="353"/>
      <c r="D138" s="427"/>
      <c r="E138" s="613"/>
      <c r="F138" s="314"/>
      <c r="G138" s="387"/>
    </row>
    <row r="139" spans="1:7" s="368" customFormat="1" ht="15" customHeight="1">
      <c r="A139" s="476" t="s">
        <v>895</v>
      </c>
      <c r="B139" s="348"/>
      <c r="C139" s="355"/>
      <c r="D139" s="433">
        <f>D141+D147</f>
        <v>13116129068</v>
      </c>
      <c r="E139" s="618">
        <f>E141+E147</f>
        <v>13020619536</v>
      </c>
      <c r="F139" s="372">
        <f>D139-E139</f>
        <v>95509532</v>
      </c>
      <c r="G139" s="386"/>
    </row>
    <row r="140" spans="1:7" s="597" customFormat="1" ht="15" customHeight="1">
      <c r="A140" s="621"/>
      <c r="B140" s="590">
        <v>1240</v>
      </c>
      <c r="C140" s="595"/>
      <c r="D140" s="613"/>
      <c r="E140" s="613"/>
      <c r="F140" s="586"/>
      <c r="G140" s="604"/>
    </row>
    <row r="141" spans="1:7" s="597" customFormat="1" ht="15" customHeight="1">
      <c r="A141" s="621"/>
      <c r="B141" s="621" t="s">
        <v>1025</v>
      </c>
      <c r="C141" s="596"/>
      <c r="D141" s="618">
        <f>D143+D145</f>
        <v>155510000</v>
      </c>
      <c r="E141" s="618">
        <f>E143+E145</f>
        <v>0</v>
      </c>
      <c r="F141" s="598">
        <f>D141-E141</f>
        <v>155510000</v>
      </c>
      <c r="G141" s="603"/>
    </row>
    <row r="142" spans="1:7" s="597" customFormat="1" ht="15" customHeight="1">
      <c r="A142" s="621"/>
      <c r="B142" s="591"/>
      <c r="C142" s="594">
        <v>1242</v>
      </c>
      <c r="D142" s="613"/>
      <c r="E142" s="613"/>
      <c r="F142" s="586"/>
      <c r="G142" s="604"/>
    </row>
    <row r="143" spans="1:7" s="597" customFormat="1" ht="15" customHeight="1">
      <c r="A143" s="621"/>
      <c r="B143" s="591"/>
      <c r="C143" s="592" t="s">
        <v>1026</v>
      </c>
      <c r="D143" s="614">
        <v>117000000</v>
      </c>
      <c r="E143" s="614">
        <v>0</v>
      </c>
      <c r="F143" s="585">
        <f>D143-E143</f>
        <v>117000000</v>
      </c>
      <c r="G143" s="384"/>
    </row>
    <row r="144" spans="1:7" s="597" customFormat="1" ht="15" customHeight="1">
      <c r="A144" s="621"/>
      <c r="B144" s="591"/>
      <c r="C144" s="593">
        <v>1249</v>
      </c>
      <c r="D144" s="618"/>
      <c r="E144" s="618"/>
      <c r="F144" s="598"/>
      <c r="G144" s="603"/>
    </row>
    <row r="145" spans="1:7" s="597" customFormat="1" ht="15" customHeight="1">
      <c r="A145" s="621"/>
      <c r="B145" s="591"/>
      <c r="C145" s="596" t="s">
        <v>1024</v>
      </c>
      <c r="D145" s="618">
        <v>38510000</v>
      </c>
      <c r="E145" s="618">
        <v>0</v>
      </c>
      <c r="F145" s="598">
        <f>D145-E145</f>
        <v>38510000</v>
      </c>
      <c r="G145" s="603"/>
    </row>
    <row r="146" spans="1:7" s="368" customFormat="1" ht="15" customHeight="1">
      <c r="A146" s="348"/>
      <c r="B146" s="344">
        <v>1260</v>
      </c>
      <c r="C146" s="353"/>
      <c r="D146" s="427"/>
      <c r="E146" s="613"/>
      <c r="F146" s="330"/>
      <c r="G146" s="387"/>
    </row>
    <row r="147" spans="1:7" s="368" customFormat="1" ht="15" customHeight="1">
      <c r="A147" s="348"/>
      <c r="B147" s="354" t="s">
        <v>753</v>
      </c>
      <c r="C147" s="355"/>
      <c r="D147" s="433">
        <f>D149+D151+D153+D155</f>
        <v>12960619068</v>
      </c>
      <c r="E147" s="618">
        <f>E149+E151+E153+E155</f>
        <v>13020619536</v>
      </c>
      <c r="F147" s="372">
        <f>D147-E147</f>
        <v>-60000468</v>
      </c>
      <c r="G147" s="386"/>
    </row>
    <row r="148" spans="1:7" s="368" customFormat="1" ht="15" customHeight="1">
      <c r="A148" s="348"/>
      <c r="B148" s="348"/>
      <c r="C148" s="351">
        <v>1262</v>
      </c>
      <c r="D148" s="427"/>
      <c r="E148" s="613"/>
      <c r="F148" s="330"/>
      <c r="G148" s="387"/>
    </row>
    <row r="149" spans="1:7" s="368" customFormat="1" ht="15" customHeight="1">
      <c r="A149" s="348"/>
      <c r="B149" s="348"/>
      <c r="C149" s="349" t="s">
        <v>754</v>
      </c>
      <c r="D149" s="428">
        <v>70000000</v>
      </c>
      <c r="E149" s="614">
        <v>70000000</v>
      </c>
      <c r="F149" s="329">
        <f>D149-E149</f>
        <v>0</v>
      </c>
      <c r="G149" s="384"/>
    </row>
    <row r="150" spans="1:7" s="368" customFormat="1" ht="15" customHeight="1">
      <c r="A150" s="348"/>
      <c r="B150" s="348"/>
      <c r="C150" s="350">
        <v>1263</v>
      </c>
      <c r="D150" s="433"/>
      <c r="E150" s="618"/>
      <c r="F150" s="372"/>
      <c r="G150" s="386"/>
    </row>
    <row r="151" spans="1:7" s="368" customFormat="1" ht="15" customHeight="1">
      <c r="A151" s="348"/>
      <c r="B151" s="348"/>
      <c r="C151" s="355" t="s">
        <v>755</v>
      </c>
      <c r="D151" s="433">
        <v>4950000000</v>
      </c>
      <c r="E151" s="618">
        <v>4950000000</v>
      </c>
      <c r="F151" s="372">
        <f>D151-E151</f>
        <v>0</v>
      </c>
      <c r="G151" s="386"/>
    </row>
    <row r="152" spans="1:7" s="368" customFormat="1" ht="15" customHeight="1">
      <c r="A152" s="348"/>
      <c r="B152" s="348"/>
      <c r="C152" s="351">
        <v>1264</v>
      </c>
      <c r="D152" s="427"/>
      <c r="E152" s="613"/>
      <c r="F152" s="330"/>
      <c r="G152" s="387"/>
    </row>
    <row r="153" spans="1:7" s="368" customFormat="1" ht="15" customHeight="1">
      <c r="A153" s="348"/>
      <c r="B153" s="348"/>
      <c r="C153" s="349" t="s">
        <v>756</v>
      </c>
      <c r="D153" s="428">
        <v>2260000000</v>
      </c>
      <c r="E153" s="614">
        <v>2260000000</v>
      </c>
      <c r="F153" s="329">
        <f>D153-E153</f>
        <v>0</v>
      </c>
      <c r="G153" s="384"/>
    </row>
    <row r="154" spans="1:7" s="368" customFormat="1" ht="15" customHeight="1">
      <c r="A154" s="348"/>
      <c r="B154" s="348"/>
      <c r="C154" s="350">
        <v>1266</v>
      </c>
      <c r="D154" s="433"/>
      <c r="E154" s="618"/>
      <c r="F154" s="372"/>
      <c r="G154" s="386"/>
    </row>
    <row r="155" spans="1:7" s="368" customFormat="1" ht="15" customHeight="1">
      <c r="A155" s="348"/>
      <c r="B155" s="348"/>
      <c r="C155" s="355" t="s">
        <v>757</v>
      </c>
      <c r="D155" s="433">
        <v>5680619068</v>
      </c>
      <c r="E155" s="618">
        <v>5740619536</v>
      </c>
      <c r="F155" s="372">
        <f>D155-E155</f>
        <v>-60000468</v>
      </c>
      <c r="G155" s="386"/>
    </row>
    <row r="156" spans="1:7" s="374" customFormat="1" ht="15" customHeight="1">
      <c r="A156" s="344">
        <v>1300</v>
      </c>
      <c r="B156" s="344"/>
      <c r="C156" s="351"/>
      <c r="D156" s="425"/>
      <c r="E156" s="612"/>
      <c r="F156" s="105"/>
      <c r="G156" s="105"/>
    </row>
    <row r="157" spans="1:7" s="368" customFormat="1" ht="15" customHeight="1">
      <c r="A157" s="476" t="s">
        <v>894</v>
      </c>
      <c r="B157" s="356"/>
      <c r="C157" s="349"/>
      <c r="D157" s="419">
        <f>SUM(D159)</f>
        <v>22687456547</v>
      </c>
      <c r="E157" s="606">
        <f>SUM(E159)</f>
        <v>18926800000</v>
      </c>
      <c r="F157" s="104">
        <f>D157-E157</f>
        <v>3760656547</v>
      </c>
      <c r="G157" s="104"/>
    </row>
    <row r="158" spans="1:7" s="374" customFormat="1" ht="15" customHeight="1">
      <c r="A158" s="697"/>
      <c r="B158" s="375">
        <v>1310</v>
      </c>
      <c r="C158" s="357"/>
      <c r="D158" s="619"/>
      <c r="E158" s="619"/>
      <c r="F158" s="599"/>
      <c r="G158" s="599"/>
    </row>
    <row r="159" spans="1:7" s="368" customFormat="1" ht="15" customHeight="1">
      <c r="A159" s="354"/>
      <c r="B159" s="476" t="s">
        <v>896</v>
      </c>
      <c r="C159" s="349"/>
      <c r="D159" s="419">
        <f>SUM(D161:D171)</f>
        <v>22687456547</v>
      </c>
      <c r="E159" s="606">
        <f>SUM(E161:E171)</f>
        <v>18926800000</v>
      </c>
      <c r="F159" s="104">
        <f>D159-E159</f>
        <v>3760656547</v>
      </c>
      <c r="G159" s="104"/>
    </row>
    <row r="160" spans="1:7" s="374" customFormat="1" ht="15" customHeight="1">
      <c r="A160" s="360"/>
      <c r="B160" s="354"/>
      <c r="C160" s="351">
        <v>1311</v>
      </c>
      <c r="D160" s="429"/>
      <c r="E160" s="615"/>
      <c r="F160" s="105"/>
      <c r="G160" s="105"/>
    </row>
    <row r="161" spans="1:7" s="368" customFormat="1" ht="15" customHeight="1">
      <c r="A161" s="348"/>
      <c r="B161" s="354"/>
      <c r="C161" s="349" t="s">
        <v>403</v>
      </c>
      <c r="D161" s="419">
        <v>569296000</v>
      </c>
      <c r="E161" s="606">
        <v>570000000</v>
      </c>
      <c r="F161" s="104">
        <f>D161-E161</f>
        <v>-704000</v>
      </c>
      <c r="G161" s="104"/>
    </row>
    <row r="162" spans="1:7" s="374" customFormat="1" ht="15" customHeight="1">
      <c r="A162" s="360"/>
      <c r="B162" s="360"/>
      <c r="C162" s="351">
        <v>1314</v>
      </c>
      <c r="D162" s="429"/>
      <c r="E162" s="615"/>
      <c r="F162" s="105"/>
      <c r="G162" s="105"/>
    </row>
    <row r="163" spans="1:7" s="368" customFormat="1" ht="15" customHeight="1">
      <c r="A163" s="348"/>
      <c r="B163" s="348"/>
      <c r="C163" s="349" t="s">
        <v>72</v>
      </c>
      <c r="D163" s="419">
        <v>547740910</v>
      </c>
      <c r="E163" s="606">
        <v>26600000</v>
      </c>
      <c r="F163" s="104">
        <f>D163-E163</f>
        <v>521140910</v>
      </c>
      <c r="G163" s="104"/>
    </row>
    <row r="164" spans="1:7" s="374" customFormat="1" ht="15" customHeight="1">
      <c r="A164" s="360"/>
      <c r="B164" s="360"/>
      <c r="C164" s="351">
        <v>1315</v>
      </c>
      <c r="D164" s="429"/>
      <c r="E164" s="615"/>
      <c r="F164" s="105"/>
      <c r="G164" s="105"/>
    </row>
    <row r="165" spans="1:7" s="368" customFormat="1" ht="15" customHeight="1">
      <c r="A165" s="348"/>
      <c r="B165" s="348"/>
      <c r="C165" s="349" t="s">
        <v>135</v>
      </c>
      <c r="D165" s="419">
        <v>676580787</v>
      </c>
      <c r="E165" s="606">
        <v>16200000</v>
      </c>
      <c r="F165" s="104">
        <f>D165-E165</f>
        <v>660380787</v>
      </c>
      <c r="G165" s="104"/>
    </row>
    <row r="166" spans="1:7" s="374" customFormat="1" ht="15" customHeight="1">
      <c r="A166" s="360"/>
      <c r="B166" s="360"/>
      <c r="C166" s="594">
        <v>1316</v>
      </c>
      <c r="D166" s="615"/>
      <c r="E166" s="615"/>
      <c r="F166" s="574"/>
      <c r="G166" s="574"/>
    </row>
    <row r="167" spans="1:7" s="368" customFormat="1" ht="15" customHeight="1">
      <c r="A167" s="348"/>
      <c r="B167" s="348"/>
      <c r="C167" s="349" t="s">
        <v>741</v>
      </c>
      <c r="D167" s="419">
        <v>0</v>
      </c>
      <c r="E167" s="606">
        <v>900000000</v>
      </c>
      <c r="F167" s="104">
        <f>D167-E167</f>
        <v>-900000000</v>
      </c>
      <c r="G167" s="104"/>
    </row>
    <row r="168" spans="1:7" s="374" customFormat="1" ht="15" customHeight="1">
      <c r="A168" s="360"/>
      <c r="B168" s="360"/>
      <c r="C168" s="351">
        <v>1317</v>
      </c>
      <c r="D168" s="429"/>
      <c r="E168" s="615"/>
      <c r="F168" s="105"/>
      <c r="G168" s="105"/>
    </row>
    <row r="169" spans="1:7" s="368" customFormat="1" ht="15" customHeight="1">
      <c r="A169" s="348"/>
      <c r="B169" s="348"/>
      <c r="C169" s="349" t="s">
        <v>136</v>
      </c>
      <c r="D169" s="419">
        <v>247000000</v>
      </c>
      <c r="E169" s="606">
        <v>200000000</v>
      </c>
      <c r="F169" s="104">
        <f>D169-E169</f>
        <v>47000000</v>
      </c>
      <c r="G169" s="104"/>
    </row>
    <row r="170" spans="1:7" s="374" customFormat="1" ht="15" customHeight="1">
      <c r="A170" s="360"/>
      <c r="B170" s="360"/>
      <c r="C170" s="351">
        <v>1319</v>
      </c>
      <c r="D170" s="429"/>
      <c r="E170" s="615"/>
      <c r="F170" s="105"/>
      <c r="G170" s="105"/>
    </row>
    <row r="171" spans="1:7" s="368" customFormat="1" ht="15" customHeight="1">
      <c r="A171" s="352"/>
      <c r="B171" s="352"/>
      <c r="C171" s="349" t="s">
        <v>137</v>
      </c>
      <c r="D171" s="419">
        <f>16214050850+4432788000</f>
        <v>20646838850</v>
      </c>
      <c r="E171" s="606">
        <v>17214000000</v>
      </c>
      <c r="F171" s="104">
        <f>D171-E171</f>
        <v>3432838850</v>
      </c>
      <c r="G171" s="115"/>
    </row>
    <row r="172" spans="1:7" s="374" customFormat="1" ht="15" customHeight="1">
      <c r="A172" s="344">
        <v>2200</v>
      </c>
      <c r="B172" s="360"/>
      <c r="C172" s="351"/>
      <c r="D172" s="429"/>
      <c r="E172" s="615"/>
      <c r="F172" s="105"/>
      <c r="G172" s="116"/>
    </row>
    <row r="173" spans="1:7" s="368" customFormat="1" ht="15" customHeight="1">
      <c r="A173" s="476" t="s">
        <v>73</v>
      </c>
      <c r="B173" s="356"/>
      <c r="C173" s="349"/>
      <c r="D173" s="419">
        <f>SUM(D175+D179)</f>
        <v>2969831276</v>
      </c>
      <c r="E173" s="606">
        <f>SUM(E175+E179)</f>
        <v>2813311000</v>
      </c>
      <c r="F173" s="104">
        <f>D173-E173</f>
        <v>156520276</v>
      </c>
      <c r="G173" s="168"/>
    </row>
    <row r="174" spans="1:7" s="374" customFormat="1" ht="15" customHeight="1">
      <c r="A174" s="348"/>
      <c r="B174" s="344">
        <v>2210</v>
      </c>
      <c r="C174" s="351"/>
      <c r="D174" s="429"/>
      <c r="E174" s="615"/>
      <c r="F174" s="105"/>
      <c r="G174" s="105"/>
    </row>
    <row r="175" spans="1:7" s="368" customFormat="1" ht="15" customHeight="1">
      <c r="A175" s="348"/>
      <c r="B175" s="476" t="s">
        <v>138</v>
      </c>
      <c r="C175" s="349"/>
      <c r="D175" s="419">
        <f>SUM(D177:D177)</f>
        <v>2780944000</v>
      </c>
      <c r="E175" s="606">
        <f>SUM(E177:E177)</f>
        <v>2780944000</v>
      </c>
      <c r="F175" s="104">
        <f>D175-E175</f>
        <v>0</v>
      </c>
      <c r="G175" s="104"/>
    </row>
    <row r="176" spans="1:7" s="374" customFormat="1" ht="15" customHeight="1">
      <c r="A176" s="348"/>
      <c r="B176" s="348"/>
      <c r="C176" s="351">
        <v>2211</v>
      </c>
      <c r="D176" s="429"/>
      <c r="E176" s="615"/>
      <c r="F176" s="105"/>
      <c r="G176" s="105"/>
    </row>
    <row r="177" spans="1:7" s="368" customFormat="1" ht="15" customHeight="1">
      <c r="A177" s="348"/>
      <c r="B177" s="352"/>
      <c r="C177" s="349" t="s">
        <v>138</v>
      </c>
      <c r="D177" s="419">
        <v>2780944000</v>
      </c>
      <c r="E177" s="606">
        <v>2780944000</v>
      </c>
      <c r="F177" s="104">
        <f>D177-E177</f>
        <v>0</v>
      </c>
      <c r="G177" s="388"/>
    </row>
    <row r="178" spans="1:7" s="374" customFormat="1" ht="15" customHeight="1">
      <c r="A178" s="348"/>
      <c r="B178" s="344">
        <v>2220</v>
      </c>
      <c r="C178" s="351"/>
      <c r="D178" s="429"/>
      <c r="E178" s="615"/>
      <c r="F178" s="105"/>
      <c r="G178" s="389"/>
    </row>
    <row r="179" spans="1:7" s="368" customFormat="1" ht="15" customHeight="1">
      <c r="A179" s="348"/>
      <c r="B179" s="354" t="s">
        <v>74</v>
      </c>
      <c r="C179" s="349"/>
      <c r="D179" s="424">
        <f>SUM(D180:D181)</f>
        <v>188887276</v>
      </c>
      <c r="E179" s="611">
        <f>SUM(E180:E181)</f>
        <v>32367000</v>
      </c>
      <c r="F179" s="325">
        <f>D179-E179</f>
        <v>156520276</v>
      </c>
      <c r="G179" s="104"/>
    </row>
    <row r="180" spans="1:7" s="374" customFormat="1" ht="15" customHeight="1">
      <c r="A180" s="348"/>
      <c r="B180" s="360"/>
      <c r="C180" s="351">
        <v>2222</v>
      </c>
      <c r="D180" s="425"/>
      <c r="E180" s="612"/>
      <c r="F180" s="105"/>
      <c r="G180" s="105"/>
    </row>
    <row r="181" spans="1:7" s="368" customFormat="1" ht="15" customHeight="1">
      <c r="A181" s="352"/>
      <c r="B181" s="348"/>
      <c r="C181" s="349" t="s">
        <v>139</v>
      </c>
      <c r="D181" s="424">
        <v>188887276</v>
      </c>
      <c r="E181" s="611">
        <v>32367000</v>
      </c>
      <c r="F181" s="325">
        <f>D181-E181</f>
        <v>156520276</v>
      </c>
      <c r="G181" s="104"/>
    </row>
    <row r="182" spans="1:7" s="368" customFormat="1" ht="23.25" customHeight="1">
      <c r="A182" s="1076" t="s">
        <v>11</v>
      </c>
      <c r="B182" s="1076"/>
      <c r="C182" s="1076"/>
      <c r="D182" s="432">
        <f>D7+D39+D91+D117+D127+D133+D139+D157+D173</f>
        <v>107111689801</v>
      </c>
      <c r="E182" s="333">
        <f>E7+E39+E91+E117+E127+E133+E139+E157+E173</f>
        <v>89684842000</v>
      </c>
      <c r="F182" s="333">
        <f>D182-E182</f>
        <v>17426847801</v>
      </c>
      <c r="G182" s="333"/>
    </row>
  </sheetData>
  <mergeCells count="7">
    <mergeCell ref="A182:C182"/>
    <mergeCell ref="B51:B53"/>
    <mergeCell ref="A1:G1"/>
    <mergeCell ref="A2:G2"/>
    <mergeCell ref="A3:G3"/>
    <mergeCell ref="A4:C4"/>
    <mergeCell ref="G4:G5"/>
  </mergeCells>
  <printOptions/>
  <pageMargins left="0.6299212598425197" right="0.2755905511811024" top="0.9448818897637796" bottom="0.5905511811023623" header="0.5118110236220472" footer="0.2755905511811024"/>
  <pageSetup horizontalDpi="600" verticalDpi="600" orientation="landscape" paperSize="9" scale="90" r:id="rId2"/>
  <headerFooter alignWithMargins="0">
    <oddHeader>&amp;L&amp;"굴림체,보통"&amp;8&lt;별지 제2호 서식&gt;</oddHeader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F30" sqref="F30"/>
    </sheetView>
  </sheetViews>
  <sheetFormatPr defaultColWidth="9.00390625" defaultRowHeight="14.25"/>
  <cols>
    <col min="1" max="16384" width="9.00390625" style="70" customWidth="1"/>
  </cols>
  <sheetData>
    <row r="9" ht="49.5" customHeight="1"/>
    <row r="10" spans="1:91" ht="51" customHeight="1">
      <c r="A10" s="990" t="s">
        <v>291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</sheetData>
  <mergeCells count="1"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workbookViewId="0" topLeftCell="A4">
      <selection activeCell="S20" sqref="S20"/>
    </sheetView>
  </sheetViews>
  <sheetFormatPr defaultColWidth="9.00390625" defaultRowHeight="13.5" customHeight="1"/>
  <cols>
    <col min="1" max="1" width="3.25390625" style="184" customWidth="1"/>
    <col min="2" max="2" width="4.75390625" style="184" customWidth="1"/>
    <col min="3" max="3" width="6.625" style="184" customWidth="1"/>
    <col min="4" max="4" width="7.75390625" style="184" customWidth="1"/>
    <col min="5" max="5" width="14.125" style="184" bestFit="1" customWidth="1"/>
    <col min="6" max="6" width="8.125" style="194" bestFit="1" customWidth="1"/>
    <col min="7" max="7" width="9.75390625" style="184" bestFit="1" customWidth="1"/>
    <col min="8" max="8" width="15.125" style="184" bestFit="1" customWidth="1"/>
    <col min="9" max="9" width="12.00390625" style="184" customWidth="1"/>
    <col min="10" max="10" width="15.375" style="184" customWidth="1"/>
    <col min="11" max="11" width="17.25390625" style="184" customWidth="1"/>
    <col min="12" max="12" width="15.625" style="184" customWidth="1"/>
    <col min="13" max="13" width="9.25390625" style="184" customWidth="1"/>
    <col min="14" max="250" width="9.00390625" style="184" customWidth="1"/>
    <col min="251" max="251" width="3.25390625" style="184" customWidth="1"/>
    <col min="252" max="252" width="4.75390625" style="184" customWidth="1"/>
    <col min="253" max="253" width="6.625" style="184" customWidth="1"/>
    <col min="254" max="254" width="7.75390625" style="184" customWidth="1"/>
    <col min="255" max="255" width="14.125" style="184" bestFit="1" customWidth="1"/>
    <col min="256" max="256" width="8.125" style="184" bestFit="1" customWidth="1"/>
    <col min="257" max="257" width="9.75390625" style="184" bestFit="1" customWidth="1"/>
    <col min="258" max="258" width="15.125" style="184" bestFit="1" customWidth="1"/>
    <col min="259" max="259" width="12.00390625" style="184" customWidth="1"/>
    <col min="260" max="260" width="16.25390625" style="184" customWidth="1"/>
    <col min="261" max="261" width="17.25390625" style="184" customWidth="1"/>
    <col min="262" max="262" width="15.50390625" style="184" customWidth="1"/>
    <col min="263" max="263" width="14.25390625" style="184" customWidth="1"/>
    <col min="264" max="264" width="9.875" style="184" customWidth="1"/>
    <col min="265" max="265" width="16.125" style="184" bestFit="1" customWidth="1"/>
    <col min="266" max="506" width="9.00390625" style="184" customWidth="1"/>
    <col min="507" max="507" width="3.25390625" style="184" customWidth="1"/>
    <col min="508" max="508" width="4.75390625" style="184" customWidth="1"/>
    <col min="509" max="509" width="6.625" style="184" customWidth="1"/>
    <col min="510" max="510" width="7.75390625" style="184" customWidth="1"/>
    <col min="511" max="511" width="14.125" style="184" bestFit="1" customWidth="1"/>
    <col min="512" max="512" width="8.125" style="184" bestFit="1" customWidth="1"/>
    <col min="513" max="513" width="9.75390625" style="184" bestFit="1" customWidth="1"/>
    <col min="514" max="514" width="15.125" style="184" bestFit="1" customWidth="1"/>
    <col min="515" max="515" width="12.00390625" style="184" customWidth="1"/>
    <col min="516" max="516" width="16.25390625" style="184" customWidth="1"/>
    <col min="517" max="517" width="17.25390625" style="184" customWidth="1"/>
    <col min="518" max="518" width="15.50390625" style="184" customWidth="1"/>
    <col min="519" max="519" width="14.25390625" style="184" customWidth="1"/>
    <col min="520" max="520" width="9.875" style="184" customWidth="1"/>
    <col min="521" max="521" width="16.125" style="184" bestFit="1" customWidth="1"/>
    <col min="522" max="762" width="9.00390625" style="184" customWidth="1"/>
    <col min="763" max="763" width="3.25390625" style="184" customWidth="1"/>
    <col min="764" max="764" width="4.75390625" style="184" customWidth="1"/>
    <col min="765" max="765" width="6.625" style="184" customWidth="1"/>
    <col min="766" max="766" width="7.75390625" style="184" customWidth="1"/>
    <col min="767" max="767" width="14.125" style="184" bestFit="1" customWidth="1"/>
    <col min="768" max="768" width="8.125" style="184" bestFit="1" customWidth="1"/>
    <col min="769" max="769" width="9.75390625" style="184" bestFit="1" customWidth="1"/>
    <col min="770" max="770" width="15.125" style="184" bestFit="1" customWidth="1"/>
    <col min="771" max="771" width="12.00390625" style="184" customWidth="1"/>
    <col min="772" max="772" width="16.25390625" style="184" customWidth="1"/>
    <col min="773" max="773" width="17.25390625" style="184" customWidth="1"/>
    <col min="774" max="774" width="15.50390625" style="184" customWidth="1"/>
    <col min="775" max="775" width="14.25390625" style="184" customWidth="1"/>
    <col min="776" max="776" width="9.875" style="184" customWidth="1"/>
    <col min="777" max="777" width="16.125" style="184" bestFit="1" customWidth="1"/>
    <col min="778" max="1018" width="9.00390625" style="184" customWidth="1"/>
    <col min="1019" max="1019" width="3.25390625" style="184" customWidth="1"/>
    <col min="1020" max="1020" width="4.75390625" style="184" customWidth="1"/>
    <col min="1021" max="1021" width="6.625" style="184" customWidth="1"/>
    <col min="1022" max="1022" width="7.75390625" style="184" customWidth="1"/>
    <col min="1023" max="1023" width="14.125" style="184" bestFit="1" customWidth="1"/>
    <col min="1024" max="1024" width="8.125" style="184" bestFit="1" customWidth="1"/>
    <col min="1025" max="1025" width="9.75390625" style="184" bestFit="1" customWidth="1"/>
    <col min="1026" max="1026" width="15.125" style="184" bestFit="1" customWidth="1"/>
    <col min="1027" max="1027" width="12.00390625" style="184" customWidth="1"/>
    <col min="1028" max="1028" width="16.25390625" style="184" customWidth="1"/>
    <col min="1029" max="1029" width="17.25390625" style="184" customWidth="1"/>
    <col min="1030" max="1030" width="15.50390625" style="184" customWidth="1"/>
    <col min="1031" max="1031" width="14.25390625" style="184" customWidth="1"/>
    <col min="1032" max="1032" width="9.875" style="184" customWidth="1"/>
    <col min="1033" max="1033" width="16.125" style="184" bestFit="1" customWidth="1"/>
    <col min="1034" max="1274" width="9.00390625" style="184" customWidth="1"/>
    <col min="1275" max="1275" width="3.25390625" style="184" customWidth="1"/>
    <col min="1276" max="1276" width="4.75390625" style="184" customWidth="1"/>
    <col min="1277" max="1277" width="6.625" style="184" customWidth="1"/>
    <col min="1278" max="1278" width="7.75390625" style="184" customWidth="1"/>
    <col min="1279" max="1279" width="14.125" style="184" bestFit="1" customWidth="1"/>
    <col min="1280" max="1280" width="8.125" style="184" bestFit="1" customWidth="1"/>
    <col min="1281" max="1281" width="9.75390625" style="184" bestFit="1" customWidth="1"/>
    <col min="1282" max="1282" width="15.125" style="184" bestFit="1" customWidth="1"/>
    <col min="1283" max="1283" width="12.00390625" style="184" customWidth="1"/>
    <col min="1284" max="1284" width="16.25390625" style="184" customWidth="1"/>
    <col min="1285" max="1285" width="17.25390625" style="184" customWidth="1"/>
    <col min="1286" max="1286" width="15.50390625" style="184" customWidth="1"/>
    <col min="1287" max="1287" width="14.25390625" style="184" customWidth="1"/>
    <col min="1288" max="1288" width="9.875" style="184" customWidth="1"/>
    <col min="1289" max="1289" width="16.125" style="184" bestFit="1" customWidth="1"/>
    <col min="1290" max="1530" width="9.00390625" style="184" customWidth="1"/>
    <col min="1531" max="1531" width="3.25390625" style="184" customWidth="1"/>
    <col min="1532" max="1532" width="4.75390625" style="184" customWidth="1"/>
    <col min="1533" max="1533" width="6.625" style="184" customWidth="1"/>
    <col min="1534" max="1534" width="7.75390625" style="184" customWidth="1"/>
    <col min="1535" max="1535" width="14.125" style="184" bestFit="1" customWidth="1"/>
    <col min="1536" max="1536" width="8.125" style="184" bestFit="1" customWidth="1"/>
    <col min="1537" max="1537" width="9.75390625" style="184" bestFit="1" customWidth="1"/>
    <col min="1538" max="1538" width="15.125" style="184" bestFit="1" customWidth="1"/>
    <col min="1539" max="1539" width="12.00390625" style="184" customWidth="1"/>
    <col min="1540" max="1540" width="16.25390625" style="184" customWidth="1"/>
    <col min="1541" max="1541" width="17.25390625" style="184" customWidth="1"/>
    <col min="1542" max="1542" width="15.50390625" style="184" customWidth="1"/>
    <col min="1543" max="1543" width="14.25390625" style="184" customWidth="1"/>
    <col min="1544" max="1544" width="9.875" style="184" customWidth="1"/>
    <col min="1545" max="1545" width="16.125" style="184" bestFit="1" customWidth="1"/>
    <col min="1546" max="1786" width="9.00390625" style="184" customWidth="1"/>
    <col min="1787" max="1787" width="3.25390625" style="184" customWidth="1"/>
    <col min="1788" max="1788" width="4.75390625" style="184" customWidth="1"/>
    <col min="1789" max="1789" width="6.625" style="184" customWidth="1"/>
    <col min="1790" max="1790" width="7.75390625" style="184" customWidth="1"/>
    <col min="1791" max="1791" width="14.125" style="184" bestFit="1" customWidth="1"/>
    <col min="1792" max="1792" width="8.125" style="184" bestFit="1" customWidth="1"/>
    <col min="1793" max="1793" width="9.75390625" style="184" bestFit="1" customWidth="1"/>
    <col min="1794" max="1794" width="15.125" style="184" bestFit="1" customWidth="1"/>
    <col min="1795" max="1795" width="12.00390625" style="184" customWidth="1"/>
    <col min="1796" max="1796" width="16.25390625" style="184" customWidth="1"/>
    <col min="1797" max="1797" width="17.25390625" style="184" customWidth="1"/>
    <col min="1798" max="1798" width="15.50390625" style="184" customWidth="1"/>
    <col min="1799" max="1799" width="14.25390625" style="184" customWidth="1"/>
    <col min="1800" max="1800" width="9.875" style="184" customWidth="1"/>
    <col min="1801" max="1801" width="16.125" style="184" bestFit="1" customWidth="1"/>
    <col min="1802" max="2042" width="9.00390625" style="184" customWidth="1"/>
    <col min="2043" max="2043" width="3.25390625" style="184" customWidth="1"/>
    <col min="2044" max="2044" width="4.75390625" style="184" customWidth="1"/>
    <col min="2045" max="2045" width="6.625" style="184" customWidth="1"/>
    <col min="2046" max="2046" width="7.75390625" style="184" customWidth="1"/>
    <col min="2047" max="2047" width="14.125" style="184" bestFit="1" customWidth="1"/>
    <col min="2048" max="2048" width="8.125" style="184" bestFit="1" customWidth="1"/>
    <col min="2049" max="2049" width="9.75390625" style="184" bestFit="1" customWidth="1"/>
    <col min="2050" max="2050" width="15.125" style="184" bestFit="1" customWidth="1"/>
    <col min="2051" max="2051" width="12.00390625" style="184" customWidth="1"/>
    <col min="2052" max="2052" width="16.25390625" style="184" customWidth="1"/>
    <col min="2053" max="2053" width="17.25390625" style="184" customWidth="1"/>
    <col min="2054" max="2054" width="15.50390625" style="184" customWidth="1"/>
    <col min="2055" max="2055" width="14.25390625" style="184" customWidth="1"/>
    <col min="2056" max="2056" width="9.875" style="184" customWidth="1"/>
    <col min="2057" max="2057" width="16.125" style="184" bestFit="1" customWidth="1"/>
    <col min="2058" max="2298" width="9.00390625" style="184" customWidth="1"/>
    <col min="2299" max="2299" width="3.25390625" style="184" customWidth="1"/>
    <col min="2300" max="2300" width="4.75390625" style="184" customWidth="1"/>
    <col min="2301" max="2301" width="6.625" style="184" customWidth="1"/>
    <col min="2302" max="2302" width="7.75390625" style="184" customWidth="1"/>
    <col min="2303" max="2303" width="14.125" style="184" bestFit="1" customWidth="1"/>
    <col min="2304" max="2304" width="8.125" style="184" bestFit="1" customWidth="1"/>
    <col min="2305" max="2305" width="9.75390625" style="184" bestFit="1" customWidth="1"/>
    <col min="2306" max="2306" width="15.125" style="184" bestFit="1" customWidth="1"/>
    <col min="2307" max="2307" width="12.00390625" style="184" customWidth="1"/>
    <col min="2308" max="2308" width="16.25390625" style="184" customWidth="1"/>
    <col min="2309" max="2309" width="17.25390625" style="184" customWidth="1"/>
    <col min="2310" max="2310" width="15.50390625" style="184" customWidth="1"/>
    <col min="2311" max="2311" width="14.25390625" style="184" customWidth="1"/>
    <col min="2312" max="2312" width="9.875" style="184" customWidth="1"/>
    <col min="2313" max="2313" width="16.125" style="184" bestFit="1" customWidth="1"/>
    <col min="2314" max="2554" width="9.00390625" style="184" customWidth="1"/>
    <col min="2555" max="2555" width="3.25390625" style="184" customWidth="1"/>
    <col min="2556" max="2556" width="4.75390625" style="184" customWidth="1"/>
    <col min="2557" max="2557" width="6.625" style="184" customWidth="1"/>
    <col min="2558" max="2558" width="7.75390625" style="184" customWidth="1"/>
    <col min="2559" max="2559" width="14.125" style="184" bestFit="1" customWidth="1"/>
    <col min="2560" max="2560" width="8.125" style="184" bestFit="1" customWidth="1"/>
    <col min="2561" max="2561" width="9.75390625" style="184" bestFit="1" customWidth="1"/>
    <col min="2562" max="2562" width="15.125" style="184" bestFit="1" customWidth="1"/>
    <col min="2563" max="2563" width="12.00390625" style="184" customWidth="1"/>
    <col min="2564" max="2564" width="16.25390625" style="184" customWidth="1"/>
    <col min="2565" max="2565" width="17.25390625" style="184" customWidth="1"/>
    <col min="2566" max="2566" width="15.50390625" style="184" customWidth="1"/>
    <col min="2567" max="2567" width="14.25390625" style="184" customWidth="1"/>
    <col min="2568" max="2568" width="9.875" style="184" customWidth="1"/>
    <col min="2569" max="2569" width="16.125" style="184" bestFit="1" customWidth="1"/>
    <col min="2570" max="2810" width="9.00390625" style="184" customWidth="1"/>
    <col min="2811" max="2811" width="3.25390625" style="184" customWidth="1"/>
    <col min="2812" max="2812" width="4.75390625" style="184" customWidth="1"/>
    <col min="2813" max="2813" width="6.625" style="184" customWidth="1"/>
    <col min="2814" max="2814" width="7.75390625" style="184" customWidth="1"/>
    <col min="2815" max="2815" width="14.125" style="184" bestFit="1" customWidth="1"/>
    <col min="2816" max="2816" width="8.125" style="184" bestFit="1" customWidth="1"/>
    <col min="2817" max="2817" width="9.75390625" style="184" bestFit="1" customWidth="1"/>
    <col min="2818" max="2818" width="15.125" style="184" bestFit="1" customWidth="1"/>
    <col min="2819" max="2819" width="12.00390625" style="184" customWidth="1"/>
    <col min="2820" max="2820" width="16.25390625" style="184" customWidth="1"/>
    <col min="2821" max="2821" width="17.25390625" style="184" customWidth="1"/>
    <col min="2822" max="2822" width="15.50390625" style="184" customWidth="1"/>
    <col min="2823" max="2823" width="14.25390625" style="184" customWidth="1"/>
    <col min="2824" max="2824" width="9.875" style="184" customWidth="1"/>
    <col min="2825" max="2825" width="16.125" style="184" bestFit="1" customWidth="1"/>
    <col min="2826" max="3066" width="9.00390625" style="184" customWidth="1"/>
    <col min="3067" max="3067" width="3.25390625" style="184" customWidth="1"/>
    <col min="3068" max="3068" width="4.75390625" style="184" customWidth="1"/>
    <col min="3069" max="3069" width="6.625" style="184" customWidth="1"/>
    <col min="3070" max="3070" width="7.75390625" style="184" customWidth="1"/>
    <col min="3071" max="3071" width="14.125" style="184" bestFit="1" customWidth="1"/>
    <col min="3072" max="3072" width="8.125" style="184" bestFit="1" customWidth="1"/>
    <col min="3073" max="3073" width="9.75390625" style="184" bestFit="1" customWidth="1"/>
    <col min="3074" max="3074" width="15.125" style="184" bestFit="1" customWidth="1"/>
    <col min="3075" max="3075" width="12.00390625" style="184" customWidth="1"/>
    <col min="3076" max="3076" width="16.25390625" style="184" customWidth="1"/>
    <col min="3077" max="3077" width="17.25390625" style="184" customWidth="1"/>
    <col min="3078" max="3078" width="15.50390625" style="184" customWidth="1"/>
    <col min="3079" max="3079" width="14.25390625" style="184" customWidth="1"/>
    <col min="3080" max="3080" width="9.875" style="184" customWidth="1"/>
    <col min="3081" max="3081" width="16.125" style="184" bestFit="1" customWidth="1"/>
    <col min="3082" max="3322" width="9.00390625" style="184" customWidth="1"/>
    <col min="3323" max="3323" width="3.25390625" style="184" customWidth="1"/>
    <col min="3324" max="3324" width="4.75390625" style="184" customWidth="1"/>
    <col min="3325" max="3325" width="6.625" style="184" customWidth="1"/>
    <col min="3326" max="3326" width="7.75390625" style="184" customWidth="1"/>
    <col min="3327" max="3327" width="14.125" style="184" bestFit="1" customWidth="1"/>
    <col min="3328" max="3328" width="8.125" style="184" bestFit="1" customWidth="1"/>
    <col min="3329" max="3329" width="9.75390625" style="184" bestFit="1" customWidth="1"/>
    <col min="3330" max="3330" width="15.125" style="184" bestFit="1" customWidth="1"/>
    <col min="3331" max="3331" width="12.00390625" style="184" customWidth="1"/>
    <col min="3332" max="3332" width="16.25390625" style="184" customWidth="1"/>
    <col min="3333" max="3333" width="17.25390625" style="184" customWidth="1"/>
    <col min="3334" max="3334" width="15.50390625" style="184" customWidth="1"/>
    <col min="3335" max="3335" width="14.25390625" style="184" customWidth="1"/>
    <col min="3336" max="3336" width="9.875" style="184" customWidth="1"/>
    <col min="3337" max="3337" width="16.125" style="184" bestFit="1" customWidth="1"/>
    <col min="3338" max="3578" width="9.00390625" style="184" customWidth="1"/>
    <col min="3579" max="3579" width="3.25390625" style="184" customWidth="1"/>
    <col min="3580" max="3580" width="4.75390625" style="184" customWidth="1"/>
    <col min="3581" max="3581" width="6.625" style="184" customWidth="1"/>
    <col min="3582" max="3582" width="7.75390625" style="184" customWidth="1"/>
    <col min="3583" max="3583" width="14.125" style="184" bestFit="1" customWidth="1"/>
    <col min="3584" max="3584" width="8.125" style="184" bestFit="1" customWidth="1"/>
    <col min="3585" max="3585" width="9.75390625" style="184" bestFit="1" customWidth="1"/>
    <col min="3586" max="3586" width="15.125" style="184" bestFit="1" customWidth="1"/>
    <col min="3587" max="3587" width="12.00390625" style="184" customWidth="1"/>
    <col min="3588" max="3588" width="16.25390625" style="184" customWidth="1"/>
    <col min="3589" max="3589" width="17.25390625" style="184" customWidth="1"/>
    <col min="3590" max="3590" width="15.50390625" style="184" customWidth="1"/>
    <col min="3591" max="3591" width="14.25390625" style="184" customWidth="1"/>
    <col min="3592" max="3592" width="9.875" style="184" customWidth="1"/>
    <col min="3593" max="3593" width="16.125" style="184" bestFit="1" customWidth="1"/>
    <col min="3594" max="3834" width="9.00390625" style="184" customWidth="1"/>
    <col min="3835" max="3835" width="3.25390625" style="184" customWidth="1"/>
    <col min="3836" max="3836" width="4.75390625" style="184" customWidth="1"/>
    <col min="3837" max="3837" width="6.625" style="184" customWidth="1"/>
    <col min="3838" max="3838" width="7.75390625" style="184" customWidth="1"/>
    <col min="3839" max="3839" width="14.125" style="184" bestFit="1" customWidth="1"/>
    <col min="3840" max="3840" width="8.125" style="184" bestFit="1" customWidth="1"/>
    <col min="3841" max="3841" width="9.75390625" style="184" bestFit="1" customWidth="1"/>
    <col min="3842" max="3842" width="15.125" style="184" bestFit="1" customWidth="1"/>
    <col min="3843" max="3843" width="12.00390625" style="184" customWidth="1"/>
    <col min="3844" max="3844" width="16.25390625" style="184" customWidth="1"/>
    <col min="3845" max="3845" width="17.25390625" style="184" customWidth="1"/>
    <col min="3846" max="3846" width="15.50390625" style="184" customWidth="1"/>
    <col min="3847" max="3847" width="14.25390625" style="184" customWidth="1"/>
    <col min="3848" max="3848" width="9.875" style="184" customWidth="1"/>
    <col min="3849" max="3849" width="16.125" style="184" bestFit="1" customWidth="1"/>
    <col min="3850" max="4090" width="9.00390625" style="184" customWidth="1"/>
    <col min="4091" max="4091" width="3.25390625" style="184" customWidth="1"/>
    <col min="4092" max="4092" width="4.75390625" style="184" customWidth="1"/>
    <col min="4093" max="4093" width="6.625" style="184" customWidth="1"/>
    <col min="4094" max="4094" width="7.75390625" style="184" customWidth="1"/>
    <col min="4095" max="4095" width="14.125" style="184" bestFit="1" customWidth="1"/>
    <col min="4096" max="4096" width="8.125" style="184" bestFit="1" customWidth="1"/>
    <col min="4097" max="4097" width="9.75390625" style="184" bestFit="1" customWidth="1"/>
    <col min="4098" max="4098" width="15.125" style="184" bestFit="1" customWidth="1"/>
    <col min="4099" max="4099" width="12.00390625" style="184" customWidth="1"/>
    <col min="4100" max="4100" width="16.25390625" style="184" customWidth="1"/>
    <col min="4101" max="4101" width="17.25390625" style="184" customWidth="1"/>
    <col min="4102" max="4102" width="15.50390625" style="184" customWidth="1"/>
    <col min="4103" max="4103" width="14.25390625" style="184" customWidth="1"/>
    <col min="4104" max="4104" width="9.875" style="184" customWidth="1"/>
    <col min="4105" max="4105" width="16.125" style="184" bestFit="1" customWidth="1"/>
    <col min="4106" max="4346" width="9.00390625" style="184" customWidth="1"/>
    <col min="4347" max="4347" width="3.25390625" style="184" customWidth="1"/>
    <col min="4348" max="4348" width="4.75390625" style="184" customWidth="1"/>
    <col min="4349" max="4349" width="6.625" style="184" customWidth="1"/>
    <col min="4350" max="4350" width="7.75390625" style="184" customWidth="1"/>
    <col min="4351" max="4351" width="14.125" style="184" bestFit="1" customWidth="1"/>
    <col min="4352" max="4352" width="8.125" style="184" bestFit="1" customWidth="1"/>
    <col min="4353" max="4353" width="9.75390625" style="184" bestFit="1" customWidth="1"/>
    <col min="4354" max="4354" width="15.125" style="184" bestFit="1" customWidth="1"/>
    <col min="4355" max="4355" width="12.00390625" style="184" customWidth="1"/>
    <col min="4356" max="4356" width="16.25390625" style="184" customWidth="1"/>
    <col min="4357" max="4357" width="17.25390625" style="184" customWidth="1"/>
    <col min="4358" max="4358" width="15.50390625" style="184" customWidth="1"/>
    <col min="4359" max="4359" width="14.25390625" style="184" customWidth="1"/>
    <col min="4360" max="4360" width="9.875" style="184" customWidth="1"/>
    <col min="4361" max="4361" width="16.125" style="184" bestFit="1" customWidth="1"/>
    <col min="4362" max="4602" width="9.00390625" style="184" customWidth="1"/>
    <col min="4603" max="4603" width="3.25390625" style="184" customWidth="1"/>
    <col min="4604" max="4604" width="4.75390625" style="184" customWidth="1"/>
    <col min="4605" max="4605" width="6.625" style="184" customWidth="1"/>
    <col min="4606" max="4606" width="7.75390625" style="184" customWidth="1"/>
    <col min="4607" max="4607" width="14.125" style="184" bestFit="1" customWidth="1"/>
    <col min="4608" max="4608" width="8.125" style="184" bestFit="1" customWidth="1"/>
    <col min="4609" max="4609" width="9.75390625" style="184" bestFit="1" customWidth="1"/>
    <col min="4610" max="4610" width="15.125" style="184" bestFit="1" customWidth="1"/>
    <col min="4611" max="4611" width="12.00390625" style="184" customWidth="1"/>
    <col min="4612" max="4612" width="16.25390625" style="184" customWidth="1"/>
    <col min="4613" max="4613" width="17.25390625" style="184" customWidth="1"/>
    <col min="4614" max="4614" width="15.50390625" style="184" customWidth="1"/>
    <col min="4615" max="4615" width="14.25390625" style="184" customWidth="1"/>
    <col min="4616" max="4616" width="9.875" style="184" customWidth="1"/>
    <col min="4617" max="4617" width="16.125" style="184" bestFit="1" customWidth="1"/>
    <col min="4618" max="4858" width="9.00390625" style="184" customWidth="1"/>
    <col min="4859" max="4859" width="3.25390625" style="184" customWidth="1"/>
    <col min="4860" max="4860" width="4.75390625" style="184" customWidth="1"/>
    <col min="4861" max="4861" width="6.625" style="184" customWidth="1"/>
    <col min="4862" max="4862" width="7.75390625" style="184" customWidth="1"/>
    <col min="4863" max="4863" width="14.125" style="184" bestFit="1" customWidth="1"/>
    <col min="4864" max="4864" width="8.125" style="184" bestFit="1" customWidth="1"/>
    <col min="4865" max="4865" width="9.75390625" style="184" bestFit="1" customWidth="1"/>
    <col min="4866" max="4866" width="15.125" style="184" bestFit="1" customWidth="1"/>
    <col min="4867" max="4867" width="12.00390625" style="184" customWidth="1"/>
    <col min="4868" max="4868" width="16.25390625" style="184" customWidth="1"/>
    <col min="4869" max="4869" width="17.25390625" style="184" customWidth="1"/>
    <col min="4870" max="4870" width="15.50390625" style="184" customWidth="1"/>
    <col min="4871" max="4871" width="14.25390625" style="184" customWidth="1"/>
    <col min="4872" max="4872" width="9.875" style="184" customWidth="1"/>
    <col min="4873" max="4873" width="16.125" style="184" bestFit="1" customWidth="1"/>
    <col min="4874" max="5114" width="9.00390625" style="184" customWidth="1"/>
    <col min="5115" max="5115" width="3.25390625" style="184" customWidth="1"/>
    <col min="5116" max="5116" width="4.75390625" style="184" customWidth="1"/>
    <col min="5117" max="5117" width="6.625" style="184" customWidth="1"/>
    <col min="5118" max="5118" width="7.75390625" style="184" customWidth="1"/>
    <col min="5119" max="5119" width="14.125" style="184" bestFit="1" customWidth="1"/>
    <col min="5120" max="5120" width="8.125" style="184" bestFit="1" customWidth="1"/>
    <col min="5121" max="5121" width="9.75390625" style="184" bestFit="1" customWidth="1"/>
    <col min="5122" max="5122" width="15.125" style="184" bestFit="1" customWidth="1"/>
    <col min="5123" max="5123" width="12.00390625" style="184" customWidth="1"/>
    <col min="5124" max="5124" width="16.25390625" style="184" customWidth="1"/>
    <col min="5125" max="5125" width="17.25390625" style="184" customWidth="1"/>
    <col min="5126" max="5126" width="15.50390625" style="184" customWidth="1"/>
    <col min="5127" max="5127" width="14.25390625" style="184" customWidth="1"/>
    <col min="5128" max="5128" width="9.875" style="184" customWidth="1"/>
    <col min="5129" max="5129" width="16.125" style="184" bestFit="1" customWidth="1"/>
    <col min="5130" max="5370" width="9.00390625" style="184" customWidth="1"/>
    <col min="5371" max="5371" width="3.25390625" style="184" customWidth="1"/>
    <col min="5372" max="5372" width="4.75390625" style="184" customWidth="1"/>
    <col min="5373" max="5373" width="6.625" style="184" customWidth="1"/>
    <col min="5374" max="5374" width="7.75390625" style="184" customWidth="1"/>
    <col min="5375" max="5375" width="14.125" style="184" bestFit="1" customWidth="1"/>
    <col min="5376" max="5376" width="8.125" style="184" bestFit="1" customWidth="1"/>
    <col min="5377" max="5377" width="9.75390625" style="184" bestFit="1" customWidth="1"/>
    <col min="5378" max="5378" width="15.125" style="184" bestFit="1" customWidth="1"/>
    <col min="5379" max="5379" width="12.00390625" style="184" customWidth="1"/>
    <col min="5380" max="5380" width="16.25390625" style="184" customWidth="1"/>
    <col min="5381" max="5381" width="17.25390625" style="184" customWidth="1"/>
    <col min="5382" max="5382" width="15.50390625" style="184" customWidth="1"/>
    <col min="5383" max="5383" width="14.25390625" style="184" customWidth="1"/>
    <col min="5384" max="5384" width="9.875" style="184" customWidth="1"/>
    <col min="5385" max="5385" width="16.125" style="184" bestFit="1" customWidth="1"/>
    <col min="5386" max="5626" width="9.00390625" style="184" customWidth="1"/>
    <col min="5627" max="5627" width="3.25390625" style="184" customWidth="1"/>
    <col min="5628" max="5628" width="4.75390625" style="184" customWidth="1"/>
    <col min="5629" max="5629" width="6.625" style="184" customWidth="1"/>
    <col min="5630" max="5630" width="7.75390625" style="184" customWidth="1"/>
    <col min="5631" max="5631" width="14.125" style="184" bestFit="1" customWidth="1"/>
    <col min="5632" max="5632" width="8.125" style="184" bestFit="1" customWidth="1"/>
    <col min="5633" max="5633" width="9.75390625" style="184" bestFit="1" customWidth="1"/>
    <col min="5634" max="5634" width="15.125" style="184" bestFit="1" customWidth="1"/>
    <col min="5635" max="5635" width="12.00390625" style="184" customWidth="1"/>
    <col min="5636" max="5636" width="16.25390625" style="184" customWidth="1"/>
    <col min="5637" max="5637" width="17.25390625" style="184" customWidth="1"/>
    <col min="5638" max="5638" width="15.50390625" style="184" customWidth="1"/>
    <col min="5639" max="5639" width="14.25390625" style="184" customWidth="1"/>
    <col min="5640" max="5640" width="9.875" style="184" customWidth="1"/>
    <col min="5641" max="5641" width="16.125" style="184" bestFit="1" customWidth="1"/>
    <col min="5642" max="5882" width="9.00390625" style="184" customWidth="1"/>
    <col min="5883" max="5883" width="3.25390625" style="184" customWidth="1"/>
    <col min="5884" max="5884" width="4.75390625" style="184" customWidth="1"/>
    <col min="5885" max="5885" width="6.625" style="184" customWidth="1"/>
    <col min="5886" max="5886" width="7.75390625" style="184" customWidth="1"/>
    <col min="5887" max="5887" width="14.125" style="184" bestFit="1" customWidth="1"/>
    <col min="5888" max="5888" width="8.125" style="184" bestFit="1" customWidth="1"/>
    <col min="5889" max="5889" width="9.75390625" style="184" bestFit="1" customWidth="1"/>
    <col min="5890" max="5890" width="15.125" style="184" bestFit="1" customWidth="1"/>
    <col min="5891" max="5891" width="12.00390625" style="184" customWidth="1"/>
    <col min="5892" max="5892" width="16.25390625" style="184" customWidth="1"/>
    <col min="5893" max="5893" width="17.25390625" style="184" customWidth="1"/>
    <col min="5894" max="5894" width="15.50390625" style="184" customWidth="1"/>
    <col min="5895" max="5895" width="14.25390625" style="184" customWidth="1"/>
    <col min="5896" max="5896" width="9.875" style="184" customWidth="1"/>
    <col min="5897" max="5897" width="16.125" style="184" bestFit="1" customWidth="1"/>
    <col min="5898" max="6138" width="9.00390625" style="184" customWidth="1"/>
    <col min="6139" max="6139" width="3.25390625" style="184" customWidth="1"/>
    <col min="6140" max="6140" width="4.75390625" style="184" customWidth="1"/>
    <col min="6141" max="6141" width="6.625" style="184" customWidth="1"/>
    <col min="6142" max="6142" width="7.75390625" style="184" customWidth="1"/>
    <col min="6143" max="6143" width="14.125" style="184" bestFit="1" customWidth="1"/>
    <col min="6144" max="6144" width="8.125" style="184" bestFit="1" customWidth="1"/>
    <col min="6145" max="6145" width="9.75390625" style="184" bestFit="1" customWidth="1"/>
    <col min="6146" max="6146" width="15.125" style="184" bestFit="1" customWidth="1"/>
    <col min="6147" max="6147" width="12.00390625" style="184" customWidth="1"/>
    <col min="6148" max="6148" width="16.25390625" style="184" customWidth="1"/>
    <col min="6149" max="6149" width="17.25390625" style="184" customWidth="1"/>
    <col min="6150" max="6150" width="15.50390625" style="184" customWidth="1"/>
    <col min="6151" max="6151" width="14.25390625" style="184" customWidth="1"/>
    <col min="6152" max="6152" width="9.875" style="184" customWidth="1"/>
    <col min="6153" max="6153" width="16.125" style="184" bestFit="1" customWidth="1"/>
    <col min="6154" max="6394" width="9.00390625" style="184" customWidth="1"/>
    <col min="6395" max="6395" width="3.25390625" style="184" customWidth="1"/>
    <col min="6396" max="6396" width="4.75390625" style="184" customWidth="1"/>
    <col min="6397" max="6397" width="6.625" style="184" customWidth="1"/>
    <col min="6398" max="6398" width="7.75390625" style="184" customWidth="1"/>
    <col min="6399" max="6399" width="14.125" style="184" bestFit="1" customWidth="1"/>
    <col min="6400" max="6400" width="8.125" style="184" bestFit="1" customWidth="1"/>
    <col min="6401" max="6401" width="9.75390625" style="184" bestFit="1" customWidth="1"/>
    <col min="6402" max="6402" width="15.125" style="184" bestFit="1" customWidth="1"/>
    <col min="6403" max="6403" width="12.00390625" style="184" customWidth="1"/>
    <col min="6404" max="6404" width="16.25390625" style="184" customWidth="1"/>
    <col min="6405" max="6405" width="17.25390625" style="184" customWidth="1"/>
    <col min="6406" max="6406" width="15.50390625" style="184" customWidth="1"/>
    <col min="6407" max="6407" width="14.25390625" style="184" customWidth="1"/>
    <col min="6408" max="6408" width="9.875" style="184" customWidth="1"/>
    <col min="6409" max="6409" width="16.125" style="184" bestFit="1" customWidth="1"/>
    <col min="6410" max="6650" width="9.00390625" style="184" customWidth="1"/>
    <col min="6651" max="6651" width="3.25390625" style="184" customWidth="1"/>
    <col min="6652" max="6652" width="4.75390625" style="184" customWidth="1"/>
    <col min="6653" max="6653" width="6.625" style="184" customWidth="1"/>
    <col min="6654" max="6654" width="7.75390625" style="184" customWidth="1"/>
    <col min="6655" max="6655" width="14.125" style="184" bestFit="1" customWidth="1"/>
    <col min="6656" max="6656" width="8.125" style="184" bestFit="1" customWidth="1"/>
    <col min="6657" max="6657" width="9.75390625" style="184" bestFit="1" customWidth="1"/>
    <col min="6658" max="6658" width="15.125" style="184" bestFit="1" customWidth="1"/>
    <col min="6659" max="6659" width="12.00390625" style="184" customWidth="1"/>
    <col min="6660" max="6660" width="16.25390625" style="184" customWidth="1"/>
    <col min="6661" max="6661" width="17.25390625" style="184" customWidth="1"/>
    <col min="6662" max="6662" width="15.50390625" style="184" customWidth="1"/>
    <col min="6663" max="6663" width="14.25390625" style="184" customWidth="1"/>
    <col min="6664" max="6664" width="9.875" style="184" customWidth="1"/>
    <col min="6665" max="6665" width="16.125" style="184" bestFit="1" customWidth="1"/>
    <col min="6666" max="6906" width="9.00390625" style="184" customWidth="1"/>
    <col min="6907" max="6907" width="3.25390625" style="184" customWidth="1"/>
    <col min="6908" max="6908" width="4.75390625" style="184" customWidth="1"/>
    <col min="6909" max="6909" width="6.625" style="184" customWidth="1"/>
    <col min="6910" max="6910" width="7.75390625" style="184" customWidth="1"/>
    <col min="6911" max="6911" width="14.125" style="184" bestFit="1" customWidth="1"/>
    <col min="6912" max="6912" width="8.125" style="184" bestFit="1" customWidth="1"/>
    <col min="6913" max="6913" width="9.75390625" style="184" bestFit="1" customWidth="1"/>
    <col min="6914" max="6914" width="15.125" style="184" bestFit="1" customWidth="1"/>
    <col min="6915" max="6915" width="12.00390625" style="184" customWidth="1"/>
    <col min="6916" max="6916" width="16.25390625" style="184" customWidth="1"/>
    <col min="6917" max="6917" width="17.25390625" style="184" customWidth="1"/>
    <col min="6918" max="6918" width="15.50390625" style="184" customWidth="1"/>
    <col min="6919" max="6919" width="14.25390625" style="184" customWidth="1"/>
    <col min="6920" max="6920" width="9.875" style="184" customWidth="1"/>
    <col min="6921" max="6921" width="16.125" style="184" bestFit="1" customWidth="1"/>
    <col min="6922" max="7162" width="9.00390625" style="184" customWidth="1"/>
    <col min="7163" max="7163" width="3.25390625" style="184" customWidth="1"/>
    <col min="7164" max="7164" width="4.75390625" style="184" customWidth="1"/>
    <col min="7165" max="7165" width="6.625" style="184" customWidth="1"/>
    <col min="7166" max="7166" width="7.75390625" style="184" customWidth="1"/>
    <col min="7167" max="7167" width="14.125" style="184" bestFit="1" customWidth="1"/>
    <col min="7168" max="7168" width="8.125" style="184" bestFit="1" customWidth="1"/>
    <col min="7169" max="7169" width="9.75390625" style="184" bestFit="1" customWidth="1"/>
    <col min="7170" max="7170" width="15.125" style="184" bestFit="1" customWidth="1"/>
    <col min="7171" max="7171" width="12.00390625" style="184" customWidth="1"/>
    <col min="7172" max="7172" width="16.25390625" style="184" customWidth="1"/>
    <col min="7173" max="7173" width="17.25390625" style="184" customWidth="1"/>
    <col min="7174" max="7174" width="15.50390625" style="184" customWidth="1"/>
    <col min="7175" max="7175" width="14.25390625" style="184" customWidth="1"/>
    <col min="7176" max="7176" width="9.875" style="184" customWidth="1"/>
    <col min="7177" max="7177" width="16.125" style="184" bestFit="1" customWidth="1"/>
    <col min="7178" max="7418" width="9.00390625" style="184" customWidth="1"/>
    <col min="7419" max="7419" width="3.25390625" style="184" customWidth="1"/>
    <col min="7420" max="7420" width="4.75390625" style="184" customWidth="1"/>
    <col min="7421" max="7421" width="6.625" style="184" customWidth="1"/>
    <col min="7422" max="7422" width="7.75390625" style="184" customWidth="1"/>
    <col min="7423" max="7423" width="14.125" style="184" bestFit="1" customWidth="1"/>
    <col min="7424" max="7424" width="8.125" style="184" bestFit="1" customWidth="1"/>
    <col min="7425" max="7425" width="9.75390625" style="184" bestFit="1" customWidth="1"/>
    <col min="7426" max="7426" width="15.125" style="184" bestFit="1" customWidth="1"/>
    <col min="7427" max="7427" width="12.00390625" style="184" customWidth="1"/>
    <col min="7428" max="7428" width="16.25390625" style="184" customWidth="1"/>
    <col min="7429" max="7429" width="17.25390625" style="184" customWidth="1"/>
    <col min="7430" max="7430" width="15.50390625" style="184" customWidth="1"/>
    <col min="7431" max="7431" width="14.25390625" style="184" customWidth="1"/>
    <col min="7432" max="7432" width="9.875" style="184" customWidth="1"/>
    <col min="7433" max="7433" width="16.125" style="184" bestFit="1" customWidth="1"/>
    <col min="7434" max="7674" width="9.00390625" style="184" customWidth="1"/>
    <col min="7675" max="7675" width="3.25390625" style="184" customWidth="1"/>
    <col min="7676" max="7676" width="4.75390625" style="184" customWidth="1"/>
    <col min="7677" max="7677" width="6.625" style="184" customWidth="1"/>
    <col min="7678" max="7678" width="7.75390625" style="184" customWidth="1"/>
    <col min="7679" max="7679" width="14.125" style="184" bestFit="1" customWidth="1"/>
    <col min="7680" max="7680" width="8.125" style="184" bestFit="1" customWidth="1"/>
    <col min="7681" max="7681" width="9.75390625" style="184" bestFit="1" customWidth="1"/>
    <col min="7682" max="7682" width="15.125" style="184" bestFit="1" customWidth="1"/>
    <col min="7683" max="7683" width="12.00390625" style="184" customWidth="1"/>
    <col min="7684" max="7684" width="16.25390625" style="184" customWidth="1"/>
    <col min="7685" max="7685" width="17.25390625" style="184" customWidth="1"/>
    <col min="7686" max="7686" width="15.50390625" style="184" customWidth="1"/>
    <col min="7687" max="7687" width="14.25390625" style="184" customWidth="1"/>
    <col min="7688" max="7688" width="9.875" style="184" customWidth="1"/>
    <col min="7689" max="7689" width="16.125" style="184" bestFit="1" customWidth="1"/>
    <col min="7690" max="7930" width="9.00390625" style="184" customWidth="1"/>
    <col min="7931" max="7931" width="3.25390625" style="184" customWidth="1"/>
    <col min="7932" max="7932" width="4.75390625" style="184" customWidth="1"/>
    <col min="7933" max="7933" width="6.625" style="184" customWidth="1"/>
    <col min="7934" max="7934" width="7.75390625" style="184" customWidth="1"/>
    <col min="7935" max="7935" width="14.125" style="184" bestFit="1" customWidth="1"/>
    <col min="7936" max="7936" width="8.125" style="184" bestFit="1" customWidth="1"/>
    <col min="7937" max="7937" width="9.75390625" style="184" bestFit="1" customWidth="1"/>
    <col min="7938" max="7938" width="15.125" style="184" bestFit="1" customWidth="1"/>
    <col min="7939" max="7939" width="12.00390625" style="184" customWidth="1"/>
    <col min="7940" max="7940" width="16.25390625" style="184" customWidth="1"/>
    <col min="7941" max="7941" width="17.25390625" style="184" customWidth="1"/>
    <col min="7942" max="7942" width="15.50390625" style="184" customWidth="1"/>
    <col min="7943" max="7943" width="14.25390625" style="184" customWidth="1"/>
    <col min="7944" max="7944" width="9.875" style="184" customWidth="1"/>
    <col min="7945" max="7945" width="16.125" style="184" bestFit="1" customWidth="1"/>
    <col min="7946" max="8186" width="9.00390625" style="184" customWidth="1"/>
    <col min="8187" max="8187" width="3.25390625" style="184" customWidth="1"/>
    <col min="8188" max="8188" width="4.75390625" style="184" customWidth="1"/>
    <col min="8189" max="8189" width="6.625" style="184" customWidth="1"/>
    <col min="8190" max="8190" width="7.75390625" style="184" customWidth="1"/>
    <col min="8191" max="8191" width="14.125" style="184" bestFit="1" customWidth="1"/>
    <col min="8192" max="8192" width="8.125" style="184" bestFit="1" customWidth="1"/>
    <col min="8193" max="8193" width="9.75390625" style="184" bestFit="1" customWidth="1"/>
    <col min="8194" max="8194" width="15.125" style="184" bestFit="1" customWidth="1"/>
    <col min="8195" max="8195" width="12.00390625" style="184" customWidth="1"/>
    <col min="8196" max="8196" width="16.25390625" style="184" customWidth="1"/>
    <col min="8197" max="8197" width="17.25390625" style="184" customWidth="1"/>
    <col min="8198" max="8198" width="15.50390625" style="184" customWidth="1"/>
    <col min="8199" max="8199" width="14.25390625" style="184" customWidth="1"/>
    <col min="8200" max="8200" width="9.875" style="184" customWidth="1"/>
    <col min="8201" max="8201" width="16.125" style="184" bestFit="1" customWidth="1"/>
    <col min="8202" max="8442" width="9.00390625" style="184" customWidth="1"/>
    <col min="8443" max="8443" width="3.25390625" style="184" customWidth="1"/>
    <col min="8444" max="8444" width="4.75390625" style="184" customWidth="1"/>
    <col min="8445" max="8445" width="6.625" style="184" customWidth="1"/>
    <col min="8446" max="8446" width="7.75390625" style="184" customWidth="1"/>
    <col min="8447" max="8447" width="14.125" style="184" bestFit="1" customWidth="1"/>
    <col min="8448" max="8448" width="8.125" style="184" bestFit="1" customWidth="1"/>
    <col min="8449" max="8449" width="9.75390625" style="184" bestFit="1" customWidth="1"/>
    <col min="8450" max="8450" width="15.125" style="184" bestFit="1" customWidth="1"/>
    <col min="8451" max="8451" width="12.00390625" style="184" customWidth="1"/>
    <col min="8452" max="8452" width="16.25390625" style="184" customWidth="1"/>
    <col min="8453" max="8453" width="17.25390625" style="184" customWidth="1"/>
    <col min="8454" max="8454" width="15.50390625" style="184" customWidth="1"/>
    <col min="8455" max="8455" width="14.25390625" style="184" customWidth="1"/>
    <col min="8456" max="8456" width="9.875" style="184" customWidth="1"/>
    <col min="8457" max="8457" width="16.125" style="184" bestFit="1" customWidth="1"/>
    <col min="8458" max="8698" width="9.00390625" style="184" customWidth="1"/>
    <col min="8699" max="8699" width="3.25390625" style="184" customWidth="1"/>
    <col min="8700" max="8700" width="4.75390625" style="184" customWidth="1"/>
    <col min="8701" max="8701" width="6.625" style="184" customWidth="1"/>
    <col min="8702" max="8702" width="7.75390625" style="184" customWidth="1"/>
    <col min="8703" max="8703" width="14.125" style="184" bestFit="1" customWidth="1"/>
    <col min="8704" max="8704" width="8.125" style="184" bestFit="1" customWidth="1"/>
    <col min="8705" max="8705" width="9.75390625" style="184" bestFit="1" customWidth="1"/>
    <col min="8706" max="8706" width="15.125" style="184" bestFit="1" customWidth="1"/>
    <col min="8707" max="8707" width="12.00390625" style="184" customWidth="1"/>
    <col min="8708" max="8708" width="16.25390625" style="184" customWidth="1"/>
    <col min="8709" max="8709" width="17.25390625" style="184" customWidth="1"/>
    <col min="8710" max="8710" width="15.50390625" style="184" customWidth="1"/>
    <col min="8711" max="8711" width="14.25390625" style="184" customWidth="1"/>
    <col min="8712" max="8712" width="9.875" style="184" customWidth="1"/>
    <col min="8713" max="8713" width="16.125" style="184" bestFit="1" customWidth="1"/>
    <col min="8714" max="8954" width="9.00390625" style="184" customWidth="1"/>
    <col min="8955" max="8955" width="3.25390625" style="184" customWidth="1"/>
    <col min="8956" max="8956" width="4.75390625" style="184" customWidth="1"/>
    <col min="8957" max="8957" width="6.625" style="184" customWidth="1"/>
    <col min="8958" max="8958" width="7.75390625" style="184" customWidth="1"/>
    <col min="8959" max="8959" width="14.125" style="184" bestFit="1" customWidth="1"/>
    <col min="8960" max="8960" width="8.125" style="184" bestFit="1" customWidth="1"/>
    <col min="8961" max="8961" width="9.75390625" style="184" bestFit="1" customWidth="1"/>
    <col min="8962" max="8962" width="15.125" style="184" bestFit="1" customWidth="1"/>
    <col min="8963" max="8963" width="12.00390625" style="184" customWidth="1"/>
    <col min="8964" max="8964" width="16.25390625" style="184" customWidth="1"/>
    <col min="8965" max="8965" width="17.25390625" style="184" customWidth="1"/>
    <col min="8966" max="8966" width="15.50390625" style="184" customWidth="1"/>
    <col min="8967" max="8967" width="14.25390625" style="184" customWidth="1"/>
    <col min="8968" max="8968" width="9.875" style="184" customWidth="1"/>
    <col min="8969" max="8969" width="16.125" style="184" bestFit="1" customWidth="1"/>
    <col min="8970" max="9210" width="9.00390625" style="184" customWidth="1"/>
    <col min="9211" max="9211" width="3.25390625" style="184" customWidth="1"/>
    <col min="9212" max="9212" width="4.75390625" style="184" customWidth="1"/>
    <col min="9213" max="9213" width="6.625" style="184" customWidth="1"/>
    <col min="9214" max="9214" width="7.75390625" style="184" customWidth="1"/>
    <col min="9215" max="9215" width="14.125" style="184" bestFit="1" customWidth="1"/>
    <col min="9216" max="9216" width="8.125" style="184" bestFit="1" customWidth="1"/>
    <col min="9217" max="9217" width="9.75390625" style="184" bestFit="1" customWidth="1"/>
    <col min="9218" max="9218" width="15.125" style="184" bestFit="1" customWidth="1"/>
    <col min="9219" max="9219" width="12.00390625" style="184" customWidth="1"/>
    <col min="9220" max="9220" width="16.25390625" style="184" customWidth="1"/>
    <col min="9221" max="9221" width="17.25390625" style="184" customWidth="1"/>
    <col min="9222" max="9222" width="15.50390625" style="184" customWidth="1"/>
    <col min="9223" max="9223" width="14.25390625" style="184" customWidth="1"/>
    <col min="9224" max="9224" width="9.875" style="184" customWidth="1"/>
    <col min="9225" max="9225" width="16.125" style="184" bestFit="1" customWidth="1"/>
    <col min="9226" max="9466" width="9.00390625" style="184" customWidth="1"/>
    <col min="9467" max="9467" width="3.25390625" style="184" customWidth="1"/>
    <col min="9468" max="9468" width="4.75390625" style="184" customWidth="1"/>
    <col min="9469" max="9469" width="6.625" style="184" customWidth="1"/>
    <col min="9470" max="9470" width="7.75390625" style="184" customWidth="1"/>
    <col min="9471" max="9471" width="14.125" style="184" bestFit="1" customWidth="1"/>
    <col min="9472" max="9472" width="8.125" style="184" bestFit="1" customWidth="1"/>
    <col min="9473" max="9473" width="9.75390625" style="184" bestFit="1" customWidth="1"/>
    <col min="9474" max="9474" width="15.125" style="184" bestFit="1" customWidth="1"/>
    <col min="9475" max="9475" width="12.00390625" style="184" customWidth="1"/>
    <col min="9476" max="9476" width="16.25390625" style="184" customWidth="1"/>
    <col min="9477" max="9477" width="17.25390625" style="184" customWidth="1"/>
    <col min="9478" max="9478" width="15.50390625" style="184" customWidth="1"/>
    <col min="9479" max="9479" width="14.25390625" style="184" customWidth="1"/>
    <col min="9480" max="9480" width="9.875" style="184" customWidth="1"/>
    <col min="9481" max="9481" width="16.125" style="184" bestFit="1" customWidth="1"/>
    <col min="9482" max="9722" width="9.00390625" style="184" customWidth="1"/>
    <col min="9723" max="9723" width="3.25390625" style="184" customWidth="1"/>
    <col min="9724" max="9724" width="4.75390625" style="184" customWidth="1"/>
    <col min="9725" max="9725" width="6.625" style="184" customWidth="1"/>
    <col min="9726" max="9726" width="7.75390625" style="184" customWidth="1"/>
    <col min="9727" max="9727" width="14.125" style="184" bestFit="1" customWidth="1"/>
    <col min="9728" max="9728" width="8.125" style="184" bestFit="1" customWidth="1"/>
    <col min="9729" max="9729" width="9.75390625" style="184" bestFit="1" customWidth="1"/>
    <col min="9730" max="9730" width="15.125" style="184" bestFit="1" customWidth="1"/>
    <col min="9731" max="9731" width="12.00390625" style="184" customWidth="1"/>
    <col min="9732" max="9732" width="16.25390625" style="184" customWidth="1"/>
    <col min="9733" max="9733" width="17.25390625" style="184" customWidth="1"/>
    <col min="9734" max="9734" width="15.50390625" style="184" customWidth="1"/>
    <col min="9735" max="9735" width="14.25390625" style="184" customWidth="1"/>
    <col min="9736" max="9736" width="9.875" style="184" customWidth="1"/>
    <col min="9737" max="9737" width="16.125" style="184" bestFit="1" customWidth="1"/>
    <col min="9738" max="9978" width="9.00390625" style="184" customWidth="1"/>
    <col min="9979" max="9979" width="3.25390625" style="184" customWidth="1"/>
    <col min="9980" max="9980" width="4.75390625" style="184" customWidth="1"/>
    <col min="9981" max="9981" width="6.625" style="184" customWidth="1"/>
    <col min="9982" max="9982" width="7.75390625" style="184" customWidth="1"/>
    <col min="9983" max="9983" width="14.125" style="184" bestFit="1" customWidth="1"/>
    <col min="9984" max="9984" width="8.125" style="184" bestFit="1" customWidth="1"/>
    <col min="9985" max="9985" width="9.75390625" style="184" bestFit="1" customWidth="1"/>
    <col min="9986" max="9986" width="15.125" style="184" bestFit="1" customWidth="1"/>
    <col min="9987" max="9987" width="12.00390625" style="184" customWidth="1"/>
    <col min="9988" max="9988" width="16.25390625" style="184" customWidth="1"/>
    <col min="9989" max="9989" width="17.25390625" style="184" customWidth="1"/>
    <col min="9990" max="9990" width="15.50390625" style="184" customWidth="1"/>
    <col min="9991" max="9991" width="14.25390625" style="184" customWidth="1"/>
    <col min="9992" max="9992" width="9.875" style="184" customWidth="1"/>
    <col min="9993" max="9993" width="16.125" style="184" bestFit="1" customWidth="1"/>
    <col min="9994" max="10234" width="9.00390625" style="184" customWidth="1"/>
    <col min="10235" max="10235" width="3.25390625" style="184" customWidth="1"/>
    <col min="10236" max="10236" width="4.75390625" style="184" customWidth="1"/>
    <col min="10237" max="10237" width="6.625" style="184" customWidth="1"/>
    <col min="10238" max="10238" width="7.75390625" style="184" customWidth="1"/>
    <col min="10239" max="10239" width="14.125" style="184" bestFit="1" customWidth="1"/>
    <col min="10240" max="10240" width="8.125" style="184" bestFit="1" customWidth="1"/>
    <col min="10241" max="10241" width="9.75390625" style="184" bestFit="1" customWidth="1"/>
    <col min="10242" max="10242" width="15.125" style="184" bestFit="1" customWidth="1"/>
    <col min="10243" max="10243" width="12.00390625" style="184" customWidth="1"/>
    <col min="10244" max="10244" width="16.25390625" style="184" customWidth="1"/>
    <col min="10245" max="10245" width="17.25390625" style="184" customWidth="1"/>
    <col min="10246" max="10246" width="15.50390625" style="184" customWidth="1"/>
    <col min="10247" max="10247" width="14.25390625" style="184" customWidth="1"/>
    <col min="10248" max="10248" width="9.875" style="184" customWidth="1"/>
    <col min="10249" max="10249" width="16.125" style="184" bestFit="1" customWidth="1"/>
    <col min="10250" max="10490" width="9.00390625" style="184" customWidth="1"/>
    <col min="10491" max="10491" width="3.25390625" style="184" customWidth="1"/>
    <col min="10492" max="10492" width="4.75390625" style="184" customWidth="1"/>
    <col min="10493" max="10493" width="6.625" style="184" customWidth="1"/>
    <col min="10494" max="10494" width="7.75390625" style="184" customWidth="1"/>
    <col min="10495" max="10495" width="14.125" style="184" bestFit="1" customWidth="1"/>
    <col min="10496" max="10496" width="8.125" style="184" bestFit="1" customWidth="1"/>
    <col min="10497" max="10497" width="9.75390625" style="184" bestFit="1" customWidth="1"/>
    <col min="10498" max="10498" width="15.125" style="184" bestFit="1" customWidth="1"/>
    <col min="10499" max="10499" width="12.00390625" style="184" customWidth="1"/>
    <col min="10500" max="10500" width="16.25390625" style="184" customWidth="1"/>
    <col min="10501" max="10501" width="17.25390625" style="184" customWidth="1"/>
    <col min="10502" max="10502" width="15.50390625" style="184" customWidth="1"/>
    <col min="10503" max="10503" width="14.25390625" style="184" customWidth="1"/>
    <col min="10504" max="10504" width="9.875" style="184" customWidth="1"/>
    <col min="10505" max="10505" width="16.125" style="184" bestFit="1" customWidth="1"/>
    <col min="10506" max="10746" width="9.00390625" style="184" customWidth="1"/>
    <col min="10747" max="10747" width="3.25390625" style="184" customWidth="1"/>
    <col min="10748" max="10748" width="4.75390625" style="184" customWidth="1"/>
    <col min="10749" max="10749" width="6.625" style="184" customWidth="1"/>
    <col min="10750" max="10750" width="7.75390625" style="184" customWidth="1"/>
    <col min="10751" max="10751" width="14.125" style="184" bestFit="1" customWidth="1"/>
    <col min="10752" max="10752" width="8.125" style="184" bestFit="1" customWidth="1"/>
    <col min="10753" max="10753" width="9.75390625" style="184" bestFit="1" customWidth="1"/>
    <col min="10754" max="10754" width="15.125" style="184" bestFit="1" customWidth="1"/>
    <col min="10755" max="10755" width="12.00390625" style="184" customWidth="1"/>
    <col min="10756" max="10756" width="16.25390625" style="184" customWidth="1"/>
    <col min="10757" max="10757" width="17.25390625" style="184" customWidth="1"/>
    <col min="10758" max="10758" width="15.50390625" style="184" customWidth="1"/>
    <col min="10759" max="10759" width="14.25390625" style="184" customWidth="1"/>
    <col min="10760" max="10760" width="9.875" style="184" customWidth="1"/>
    <col min="10761" max="10761" width="16.125" style="184" bestFit="1" customWidth="1"/>
    <col min="10762" max="11002" width="9.00390625" style="184" customWidth="1"/>
    <col min="11003" max="11003" width="3.25390625" style="184" customWidth="1"/>
    <col min="11004" max="11004" width="4.75390625" style="184" customWidth="1"/>
    <col min="11005" max="11005" width="6.625" style="184" customWidth="1"/>
    <col min="11006" max="11006" width="7.75390625" style="184" customWidth="1"/>
    <col min="11007" max="11007" width="14.125" style="184" bestFit="1" customWidth="1"/>
    <col min="11008" max="11008" width="8.125" style="184" bestFit="1" customWidth="1"/>
    <col min="11009" max="11009" width="9.75390625" style="184" bestFit="1" customWidth="1"/>
    <col min="11010" max="11010" width="15.125" style="184" bestFit="1" customWidth="1"/>
    <col min="11011" max="11011" width="12.00390625" style="184" customWidth="1"/>
    <col min="11012" max="11012" width="16.25390625" style="184" customWidth="1"/>
    <col min="11013" max="11013" width="17.25390625" style="184" customWidth="1"/>
    <col min="11014" max="11014" width="15.50390625" style="184" customWidth="1"/>
    <col min="11015" max="11015" width="14.25390625" style="184" customWidth="1"/>
    <col min="11016" max="11016" width="9.875" style="184" customWidth="1"/>
    <col min="11017" max="11017" width="16.125" style="184" bestFit="1" customWidth="1"/>
    <col min="11018" max="11258" width="9.00390625" style="184" customWidth="1"/>
    <col min="11259" max="11259" width="3.25390625" style="184" customWidth="1"/>
    <col min="11260" max="11260" width="4.75390625" style="184" customWidth="1"/>
    <col min="11261" max="11261" width="6.625" style="184" customWidth="1"/>
    <col min="11262" max="11262" width="7.75390625" style="184" customWidth="1"/>
    <col min="11263" max="11263" width="14.125" style="184" bestFit="1" customWidth="1"/>
    <col min="11264" max="11264" width="8.125" style="184" bestFit="1" customWidth="1"/>
    <col min="11265" max="11265" width="9.75390625" style="184" bestFit="1" customWidth="1"/>
    <col min="11266" max="11266" width="15.125" style="184" bestFit="1" customWidth="1"/>
    <col min="11267" max="11267" width="12.00390625" style="184" customWidth="1"/>
    <col min="11268" max="11268" width="16.25390625" style="184" customWidth="1"/>
    <col min="11269" max="11269" width="17.25390625" style="184" customWidth="1"/>
    <col min="11270" max="11270" width="15.50390625" style="184" customWidth="1"/>
    <col min="11271" max="11271" width="14.25390625" style="184" customWidth="1"/>
    <col min="11272" max="11272" width="9.875" style="184" customWidth="1"/>
    <col min="11273" max="11273" width="16.125" style="184" bestFit="1" customWidth="1"/>
    <col min="11274" max="11514" width="9.00390625" style="184" customWidth="1"/>
    <col min="11515" max="11515" width="3.25390625" style="184" customWidth="1"/>
    <col min="11516" max="11516" width="4.75390625" style="184" customWidth="1"/>
    <col min="11517" max="11517" width="6.625" style="184" customWidth="1"/>
    <col min="11518" max="11518" width="7.75390625" style="184" customWidth="1"/>
    <col min="11519" max="11519" width="14.125" style="184" bestFit="1" customWidth="1"/>
    <col min="11520" max="11520" width="8.125" style="184" bestFit="1" customWidth="1"/>
    <col min="11521" max="11521" width="9.75390625" style="184" bestFit="1" customWidth="1"/>
    <col min="11522" max="11522" width="15.125" style="184" bestFit="1" customWidth="1"/>
    <col min="11523" max="11523" width="12.00390625" style="184" customWidth="1"/>
    <col min="11524" max="11524" width="16.25390625" style="184" customWidth="1"/>
    <col min="11525" max="11525" width="17.25390625" style="184" customWidth="1"/>
    <col min="11526" max="11526" width="15.50390625" style="184" customWidth="1"/>
    <col min="11527" max="11527" width="14.25390625" style="184" customWidth="1"/>
    <col min="11528" max="11528" width="9.875" style="184" customWidth="1"/>
    <col min="11529" max="11529" width="16.125" style="184" bestFit="1" customWidth="1"/>
    <col min="11530" max="11770" width="9.00390625" style="184" customWidth="1"/>
    <col min="11771" max="11771" width="3.25390625" style="184" customWidth="1"/>
    <col min="11772" max="11772" width="4.75390625" style="184" customWidth="1"/>
    <col min="11773" max="11773" width="6.625" style="184" customWidth="1"/>
    <col min="11774" max="11774" width="7.75390625" style="184" customWidth="1"/>
    <col min="11775" max="11775" width="14.125" style="184" bestFit="1" customWidth="1"/>
    <col min="11776" max="11776" width="8.125" style="184" bestFit="1" customWidth="1"/>
    <col min="11777" max="11777" width="9.75390625" style="184" bestFit="1" customWidth="1"/>
    <col min="11778" max="11778" width="15.125" style="184" bestFit="1" customWidth="1"/>
    <col min="11779" max="11779" width="12.00390625" style="184" customWidth="1"/>
    <col min="11780" max="11780" width="16.25390625" style="184" customWidth="1"/>
    <col min="11781" max="11781" width="17.25390625" style="184" customWidth="1"/>
    <col min="11782" max="11782" width="15.50390625" style="184" customWidth="1"/>
    <col min="11783" max="11783" width="14.25390625" style="184" customWidth="1"/>
    <col min="11784" max="11784" width="9.875" style="184" customWidth="1"/>
    <col min="11785" max="11785" width="16.125" style="184" bestFit="1" customWidth="1"/>
    <col min="11786" max="12026" width="9.00390625" style="184" customWidth="1"/>
    <col min="12027" max="12027" width="3.25390625" style="184" customWidth="1"/>
    <col min="12028" max="12028" width="4.75390625" style="184" customWidth="1"/>
    <col min="12029" max="12029" width="6.625" style="184" customWidth="1"/>
    <col min="12030" max="12030" width="7.75390625" style="184" customWidth="1"/>
    <col min="12031" max="12031" width="14.125" style="184" bestFit="1" customWidth="1"/>
    <col min="12032" max="12032" width="8.125" style="184" bestFit="1" customWidth="1"/>
    <col min="12033" max="12033" width="9.75390625" style="184" bestFit="1" customWidth="1"/>
    <col min="12034" max="12034" width="15.125" style="184" bestFit="1" customWidth="1"/>
    <col min="12035" max="12035" width="12.00390625" style="184" customWidth="1"/>
    <col min="12036" max="12036" width="16.25390625" style="184" customWidth="1"/>
    <col min="12037" max="12037" width="17.25390625" style="184" customWidth="1"/>
    <col min="12038" max="12038" width="15.50390625" style="184" customWidth="1"/>
    <col min="12039" max="12039" width="14.25390625" style="184" customWidth="1"/>
    <col min="12040" max="12040" width="9.875" style="184" customWidth="1"/>
    <col min="12041" max="12041" width="16.125" style="184" bestFit="1" customWidth="1"/>
    <col min="12042" max="12282" width="9.00390625" style="184" customWidth="1"/>
    <col min="12283" max="12283" width="3.25390625" style="184" customWidth="1"/>
    <col min="12284" max="12284" width="4.75390625" style="184" customWidth="1"/>
    <col min="12285" max="12285" width="6.625" style="184" customWidth="1"/>
    <col min="12286" max="12286" width="7.75390625" style="184" customWidth="1"/>
    <col min="12287" max="12287" width="14.125" style="184" bestFit="1" customWidth="1"/>
    <col min="12288" max="12288" width="8.125" style="184" bestFit="1" customWidth="1"/>
    <col min="12289" max="12289" width="9.75390625" style="184" bestFit="1" customWidth="1"/>
    <col min="12290" max="12290" width="15.125" style="184" bestFit="1" customWidth="1"/>
    <col min="12291" max="12291" width="12.00390625" style="184" customWidth="1"/>
    <col min="12292" max="12292" width="16.25390625" style="184" customWidth="1"/>
    <col min="12293" max="12293" width="17.25390625" style="184" customWidth="1"/>
    <col min="12294" max="12294" width="15.50390625" style="184" customWidth="1"/>
    <col min="12295" max="12295" width="14.25390625" style="184" customWidth="1"/>
    <col min="12296" max="12296" width="9.875" style="184" customWidth="1"/>
    <col min="12297" max="12297" width="16.125" style="184" bestFit="1" customWidth="1"/>
    <col min="12298" max="12538" width="9.00390625" style="184" customWidth="1"/>
    <col min="12539" max="12539" width="3.25390625" style="184" customWidth="1"/>
    <col min="12540" max="12540" width="4.75390625" style="184" customWidth="1"/>
    <col min="12541" max="12541" width="6.625" style="184" customWidth="1"/>
    <col min="12542" max="12542" width="7.75390625" style="184" customWidth="1"/>
    <col min="12543" max="12543" width="14.125" style="184" bestFit="1" customWidth="1"/>
    <col min="12544" max="12544" width="8.125" style="184" bestFit="1" customWidth="1"/>
    <col min="12545" max="12545" width="9.75390625" style="184" bestFit="1" customWidth="1"/>
    <col min="12546" max="12546" width="15.125" style="184" bestFit="1" customWidth="1"/>
    <col min="12547" max="12547" width="12.00390625" style="184" customWidth="1"/>
    <col min="12548" max="12548" width="16.25390625" style="184" customWidth="1"/>
    <col min="12549" max="12549" width="17.25390625" style="184" customWidth="1"/>
    <col min="12550" max="12550" width="15.50390625" style="184" customWidth="1"/>
    <col min="12551" max="12551" width="14.25390625" style="184" customWidth="1"/>
    <col min="12552" max="12552" width="9.875" style="184" customWidth="1"/>
    <col min="12553" max="12553" width="16.125" style="184" bestFit="1" customWidth="1"/>
    <col min="12554" max="12794" width="9.00390625" style="184" customWidth="1"/>
    <col min="12795" max="12795" width="3.25390625" style="184" customWidth="1"/>
    <col min="12796" max="12796" width="4.75390625" style="184" customWidth="1"/>
    <col min="12797" max="12797" width="6.625" style="184" customWidth="1"/>
    <col min="12798" max="12798" width="7.75390625" style="184" customWidth="1"/>
    <col min="12799" max="12799" width="14.125" style="184" bestFit="1" customWidth="1"/>
    <col min="12800" max="12800" width="8.125" style="184" bestFit="1" customWidth="1"/>
    <col min="12801" max="12801" width="9.75390625" style="184" bestFit="1" customWidth="1"/>
    <col min="12802" max="12802" width="15.125" style="184" bestFit="1" customWidth="1"/>
    <col min="12803" max="12803" width="12.00390625" style="184" customWidth="1"/>
    <col min="12804" max="12804" width="16.25390625" style="184" customWidth="1"/>
    <col min="12805" max="12805" width="17.25390625" style="184" customWidth="1"/>
    <col min="12806" max="12806" width="15.50390625" style="184" customWidth="1"/>
    <col min="12807" max="12807" width="14.25390625" style="184" customWidth="1"/>
    <col min="12808" max="12808" width="9.875" style="184" customWidth="1"/>
    <col min="12809" max="12809" width="16.125" style="184" bestFit="1" customWidth="1"/>
    <col min="12810" max="13050" width="9.00390625" style="184" customWidth="1"/>
    <col min="13051" max="13051" width="3.25390625" style="184" customWidth="1"/>
    <col min="13052" max="13052" width="4.75390625" style="184" customWidth="1"/>
    <col min="13053" max="13053" width="6.625" style="184" customWidth="1"/>
    <col min="13054" max="13054" width="7.75390625" style="184" customWidth="1"/>
    <col min="13055" max="13055" width="14.125" style="184" bestFit="1" customWidth="1"/>
    <col min="13056" max="13056" width="8.125" style="184" bestFit="1" customWidth="1"/>
    <col min="13057" max="13057" width="9.75390625" style="184" bestFit="1" customWidth="1"/>
    <col min="13058" max="13058" width="15.125" style="184" bestFit="1" customWidth="1"/>
    <col min="13059" max="13059" width="12.00390625" style="184" customWidth="1"/>
    <col min="13060" max="13060" width="16.25390625" style="184" customWidth="1"/>
    <col min="13061" max="13061" width="17.25390625" style="184" customWidth="1"/>
    <col min="13062" max="13062" width="15.50390625" style="184" customWidth="1"/>
    <col min="13063" max="13063" width="14.25390625" style="184" customWidth="1"/>
    <col min="13064" max="13064" width="9.875" style="184" customWidth="1"/>
    <col min="13065" max="13065" width="16.125" style="184" bestFit="1" customWidth="1"/>
    <col min="13066" max="13306" width="9.00390625" style="184" customWidth="1"/>
    <col min="13307" max="13307" width="3.25390625" style="184" customWidth="1"/>
    <col min="13308" max="13308" width="4.75390625" style="184" customWidth="1"/>
    <col min="13309" max="13309" width="6.625" style="184" customWidth="1"/>
    <col min="13310" max="13310" width="7.75390625" style="184" customWidth="1"/>
    <col min="13311" max="13311" width="14.125" style="184" bestFit="1" customWidth="1"/>
    <col min="13312" max="13312" width="8.125" style="184" bestFit="1" customWidth="1"/>
    <col min="13313" max="13313" width="9.75390625" style="184" bestFit="1" customWidth="1"/>
    <col min="13314" max="13314" width="15.125" style="184" bestFit="1" customWidth="1"/>
    <col min="13315" max="13315" width="12.00390625" style="184" customWidth="1"/>
    <col min="13316" max="13316" width="16.25390625" style="184" customWidth="1"/>
    <col min="13317" max="13317" width="17.25390625" style="184" customWidth="1"/>
    <col min="13318" max="13318" width="15.50390625" style="184" customWidth="1"/>
    <col min="13319" max="13319" width="14.25390625" style="184" customWidth="1"/>
    <col min="13320" max="13320" width="9.875" style="184" customWidth="1"/>
    <col min="13321" max="13321" width="16.125" style="184" bestFit="1" customWidth="1"/>
    <col min="13322" max="13562" width="9.00390625" style="184" customWidth="1"/>
    <col min="13563" max="13563" width="3.25390625" style="184" customWidth="1"/>
    <col min="13564" max="13564" width="4.75390625" style="184" customWidth="1"/>
    <col min="13565" max="13565" width="6.625" style="184" customWidth="1"/>
    <col min="13566" max="13566" width="7.75390625" style="184" customWidth="1"/>
    <col min="13567" max="13567" width="14.125" style="184" bestFit="1" customWidth="1"/>
    <col min="13568" max="13568" width="8.125" style="184" bestFit="1" customWidth="1"/>
    <col min="13569" max="13569" width="9.75390625" style="184" bestFit="1" customWidth="1"/>
    <col min="13570" max="13570" width="15.125" style="184" bestFit="1" customWidth="1"/>
    <col min="13571" max="13571" width="12.00390625" style="184" customWidth="1"/>
    <col min="13572" max="13572" width="16.25390625" style="184" customWidth="1"/>
    <col min="13573" max="13573" width="17.25390625" style="184" customWidth="1"/>
    <col min="13574" max="13574" width="15.50390625" style="184" customWidth="1"/>
    <col min="13575" max="13575" width="14.25390625" style="184" customWidth="1"/>
    <col min="13576" max="13576" width="9.875" style="184" customWidth="1"/>
    <col min="13577" max="13577" width="16.125" style="184" bestFit="1" customWidth="1"/>
    <col min="13578" max="13818" width="9.00390625" style="184" customWidth="1"/>
    <col min="13819" max="13819" width="3.25390625" style="184" customWidth="1"/>
    <col min="13820" max="13820" width="4.75390625" style="184" customWidth="1"/>
    <col min="13821" max="13821" width="6.625" style="184" customWidth="1"/>
    <col min="13822" max="13822" width="7.75390625" style="184" customWidth="1"/>
    <col min="13823" max="13823" width="14.125" style="184" bestFit="1" customWidth="1"/>
    <col min="13824" max="13824" width="8.125" style="184" bestFit="1" customWidth="1"/>
    <col min="13825" max="13825" width="9.75390625" style="184" bestFit="1" customWidth="1"/>
    <col min="13826" max="13826" width="15.125" style="184" bestFit="1" customWidth="1"/>
    <col min="13827" max="13827" width="12.00390625" style="184" customWidth="1"/>
    <col min="13828" max="13828" width="16.25390625" style="184" customWidth="1"/>
    <col min="13829" max="13829" width="17.25390625" style="184" customWidth="1"/>
    <col min="13830" max="13830" width="15.50390625" style="184" customWidth="1"/>
    <col min="13831" max="13831" width="14.25390625" style="184" customWidth="1"/>
    <col min="13832" max="13832" width="9.875" style="184" customWidth="1"/>
    <col min="13833" max="13833" width="16.125" style="184" bestFit="1" customWidth="1"/>
    <col min="13834" max="14074" width="9.00390625" style="184" customWidth="1"/>
    <col min="14075" max="14075" width="3.25390625" style="184" customWidth="1"/>
    <col min="14076" max="14076" width="4.75390625" style="184" customWidth="1"/>
    <col min="14077" max="14077" width="6.625" style="184" customWidth="1"/>
    <col min="14078" max="14078" width="7.75390625" style="184" customWidth="1"/>
    <col min="14079" max="14079" width="14.125" style="184" bestFit="1" customWidth="1"/>
    <col min="14080" max="14080" width="8.125" style="184" bestFit="1" customWidth="1"/>
    <col min="14081" max="14081" width="9.75390625" style="184" bestFit="1" customWidth="1"/>
    <col min="14082" max="14082" width="15.125" style="184" bestFit="1" customWidth="1"/>
    <col min="14083" max="14083" width="12.00390625" style="184" customWidth="1"/>
    <col min="14084" max="14084" width="16.25390625" style="184" customWidth="1"/>
    <col min="14085" max="14085" width="17.25390625" style="184" customWidth="1"/>
    <col min="14086" max="14086" width="15.50390625" style="184" customWidth="1"/>
    <col min="14087" max="14087" width="14.25390625" style="184" customWidth="1"/>
    <col min="14088" max="14088" width="9.875" style="184" customWidth="1"/>
    <col min="14089" max="14089" width="16.125" style="184" bestFit="1" customWidth="1"/>
    <col min="14090" max="14330" width="9.00390625" style="184" customWidth="1"/>
    <col min="14331" max="14331" width="3.25390625" style="184" customWidth="1"/>
    <col min="14332" max="14332" width="4.75390625" style="184" customWidth="1"/>
    <col min="14333" max="14333" width="6.625" style="184" customWidth="1"/>
    <col min="14334" max="14334" width="7.75390625" style="184" customWidth="1"/>
    <col min="14335" max="14335" width="14.125" style="184" bestFit="1" customWidth="1"/>
    <col min="14336" max="14336" width="8.125" style="184" bestFit="1" customWidth="1"/>
    <col min="14337" max="14337" width="9.75390625" style="184" bestFit="1" customWidth="1"/>
    <col min="14338" max="14338" width="15.125" style="184" bestFit="1" customWidth="1"/>
    <col min="14339" max="14339" width="12.00390625" style="184" customWidth="1"/>
    <col min="14340" max="14340" width="16.25390625" style="184" customWidth="1"/>
    <col min="14341" max="14341" width="17.25390625" style="184" customWidth="1"/>
    <col min="14342" max="14342" width="15.50390625" style="184" customWidth="1"/>
    <col min="14343" max="14343" width="14.25390625" style="184" customWidth="1"/>
    <col min="14344" max="14344" width="9.875" style="184" customWidth="1"/>
    <col min="14345" max="14345" width="16.125" style="184" bestFit="1" customWidth="1"/>
    <col min="14346" max="14586" width="9.00390625" style="184" customWidth="1"/>
    <col min="14587" max="14587" width="3.25390625" style="184" customWidth="1"/>
    <col min="14588" max="14588" width="4.75390625" style="184" customWidth="1"/>
    <col min="14589" max="14589" width="6.625" style="184" customWidth="1"/>
    <col min="14590" max="14590" width="7.75390625" style="184" customWidth="1"/>
    <col min="14591" max="14591" width="14.125" style="184" bestFit="1" customWidth="1"/>
    <col min="14592" max="14592" width="8.125" style="184" bestFit="1" customWidth="1"/>
    <col min="14593" max="14593" width="9.75390625" style="184" bestFit="1" customWidth="1"/>
    <col min="14594" max="14594" width="15.125" style="184" bestFit="1" customWidth="1"/>
    <col min="14595" max="14595" width="12.00390625" style="184" customWidth="1"/>
    <col min="14596" max="14596" width="16.25390625" style="184" customWidth="1"/>
    <col min="14597" max="14597" width="17.25390625" style="184" customWidth="1"/>
    <col min="14598" max="14598" width="15.50390625" style="184" customWidth="1"/>
    <col min="14599" max="14599" width="14.25390625" style="184" customWidth="1"/>
    <col min="14600" max="14600" width="9.875" style="184" customWidth="1"/>
    <col min="14601" max="14601" width="16.125" style="184" bestFit="1" customWidth="1"/>
    <col min="14602" max="14842" width="9.00390625" style="184" customWidth="1"/>
    <col min="14843" max="14843" width="3.25390625" style="184" customWidth="1"/>
    <col min="14844" max="14844" width="4.75390625" style="184" customWidth="1"/>
    <col min="14845" max="14845" width="6.625" style="184" customWidth="1"/>
    <col min="14846" max="14846" width="7.75390625" style="184" customWidth="1"/>
    <col min="14847" max="14847" width="14.125" style="184" bestFit="1" customWidth="1"/>
    <col min="14848" max="14848" width="8.125" style="184" bestFit="1" customWidth="1"/>
    <col min="14849" max="14849" width="9.75390625" style="184" bestFit="1" customWidth="1"/>
    <col min="14850" max="14850" width="15.125" style="184" bestFit="1" customWidth="1"/>
    <col min="14851" max="14851" width="12.00390625" style="184" customWidth="1"/>
    <col min="14852" max="14852" width="16.25390625" style="184" customWidth="1"/>
    <col min="14853" max="14853" width="17.25390625" style="184" customWidth="1"/>
    <col min="14854" max="14854" width="15.50390625" style="184" customWidth="1"/>
    <col min="14855" max="14855" width="14.25390625" style="184" customWidth="1"/>
    <col min="14856" max="14856" width="9.875" style="184" customWidth="1"/>
    <col min="14857" max="14857" width="16.125" style="184" bestFit="1" customWidth="1"/>
    <col min="14858" max="15098" width="9.00390625" style="184" customWidth="1"/>
    <col min="15099" max="15099" width="3.25390625" style="184" customWidth="1"/>
    <col min="15100" max="15100" width="4.75390625" style="184" customWidth="1"/>
    <col min="15101" max="15101" width="6.625" style="184" customWidth="1"/>
    <col min="15102" max="15102" width="7.75390625" style="184" customWidth="1"/>
    <col min="15103" max="15103" width="14.125" style="184" bestFit="1" customWidth="1"/>
    <col min="15104" max="15104" width="8.125" style="184" bestFit="1" customWidth="1"/>
    <col min="15105" max="15105" width="9.75390625" style="184" bestFit="1" customWidth="1"/>
    <col min="15106" max="15106" width="15.125" style="184" bestFit="1" customWidth="1"/>
    <col min="15107" max="15107" width="12.00390625" style="184" customWidth="1"/>
    <col min="15108" max="15108" width="16.25390625" style="184" customWidth="1"/>
    <col min="15109" max="15109" width="17.25390625" style="184" customWidth="1"/>
    <col min="15110" max="15110" width="15.50390625" style="184" customWidth="1"/>
    <col min="15111" max="15111" width="14.25390625" style="184" customWidth="1"/>
    <col min="15112" max="15112" width="9.875" style="184" customWidth="1"/>
    <col min="15113" max="15113" width="16.125" style="184" bestFit="1" customWidth="1"/>
    <col min="15114" max="15354" width="9.00390625" style="184" customWidth="1"/>
    <col min="15355" max="15355" width="3.25390625" style="184" customWidth="1"/>
    <col min="15356" max="15356" width="4.75390625" style="184" customWidth="1"/>
    <col min="15357" max="15357" width="6.625" style="184" customWidth="1"/>
    <col min="15358" max="15358" width="7.75390625" style="184" customWidth="1"/>
    <col min="15359" max="15359" width="14.125" style="184" bestFit="1" customWidth="1"/>
    <col min="15360" max="15360" width="8.125" style="184" bestFit="1" customWidth="1"/>
    <col min="15361" max="15361" width="9.75390625" style="184" bestFit="1" customWidth="1"/>
    <col min="15362" max="15362" width="15.125" style="184" bestFit="1" customWidth="1"/>
    <col min="15363" max="15363" width="12.00390625" style="184" customWidth="1"/>
    <col min="15364" max="15364" width="16.25390625" style="184" customWidth="1"/>
    <col min="15365" max="15365" width="17.25390625" style="184" customWidth="1"/>
    <col min="15366" max="15366" width="15.50390625" style="184" customWidth="1"/>
    <col min="15367" max="15367" width="14.25390625" style="184" customWidth="1"/>
    <col min="15368" max="15368" width="9.875" style="184" customWidth="1"/>
    <col min="15369" max="15369" width="16.125" style="184" bestFit="1" customWidth="1"/>
    <col min="15370" max="15610" width="9.00390625" style="184" customWidth="1"/>
    <col min="15611" max="15611" width="3.25390625" style="184" customWidth="1"/>
    <col min="15612" max="15612" width="4.75390625" style="184" customWidth="1"/>
    <col min="15613" max="15613" width="6.625" style="184" customWidth="1"/>
    <col min="15614" max="15614" width="7.75390625" style="184" customWidth="1"/>
    <col min="15615" max="15615" width="14.125" style="184" bestFit="1" customWidth="1"/>
    <col min="15616" max="15616" width="8.125" style="184" bestFit="1" customWidth="1"/>
    <col min="15617" max="15617" width="9.75390625" style="184" bestFit="1" customWidth="1"/>
    <col min="15618" max="15618" width="15.125" style="184" bestFit="1" customWidth="1"/>
    <col min="15619" max="15619" width="12.00390625" style="184" customWidth="1"/>
    <col min="15620" max="15620" width="16.25390625" style="184" customWidth="1"/>
    <col min="15621" max="15621" width="17.25390625" style="184" customWidth="1"/>
    <col min="15622" max="15622" width="15.50390625" style="184" customWidth="1"/>
    <col min="15623" max="15623" width="14.25390625" style="184" customWidth="1"/>
    <col min="15624" max="15624" width="9.875" style="184" customWidth="1"/>
    <col min="15625" max="15625" width="16.125" style="184" bestFit="1" customWidth="1"/>
    <col min="15626" max="15866" width="9.00390625" style="184" customWidth="1"/>
    <col min="15867" max="15867" width="3.25390625" style="184" customWidth="1"/>
    <col min="15868" max="15868" width="4.75390625" style="184" customWidth="1"/>
    <col min="15869" max="15869" width="6.625" style="184" customWidth="1"/>
    <col min="15870" max="15870" width="7.75390625" style="184" customWidth="1"/>
    <col min="15871" max="15871" width="14.125" style="184" bestFit="1" customWidth="1"/>
    <col min="15872" max="15872" width="8.125" style="184" bestFit="1" customWidth="1"/>
    <col min="15873" max="15873" width="9.75390625" style="184" bestFit="1" customWidth="1"/>
    <col min="15874" max="15874" width="15.125" style="184" bestFit="1" customWidth="1"/>
    <col min="15875" max="15875" width="12.00390625" style="184" customWidth="1"/>
    <col min="15876" max="15876" width="16.25390625" style="184" customWidth="1"/>
    <col min="15877" max="15877" width="17.25390625" style="184" customWidth="1"/>
    <col min="15878" max="15878" width="15.50390625" style="184" customWidth="1"/>
    <col min="15879" max="15879" width="14.25390625" style="184" customWidth="1"/>
    <col min="15880" max="15880" width="9.875" style="184" customWidth="1"/>
    <col min="15881" max="15881" width="16.125" style="184" bestFit="1" customWidth="1"/>
    <col min="15882" max="16122" width="9.00390625" style="184" customWidth="1"/>
    <col min="16123" max="16123" width="3.25390625" style="184" customWidth="1"/>
    <col min="16124" max="16124" width="4.75390625" style="184" customWidth="1"/>
    <col min="16125" max="16125" width="6.625" style="184" customWidth="1"/>
    <col min="16126" max="16126" width="7.75390625" style="184" customWidth="1"/>
    <col min="16127" max="16127" width="14.125" style="184" bestFit="1" customWidth="1"/>
    <col min="16128" max="16128" width="8.125" style="184" bestFit="1" customWidth="1"/>
    <col min="16129" max="16129" width="9.75390625" style="184" bestFit="1" customWidth="1"/>
    <col min="16130" max="16130" width="15.125" style="184" bestFit="1" customWidth="1"/>
    <col min="16131" max="16131" width="12.00390625" style="184" customWidth="1"/>
    <col min="16132" max="16132" width="16.25390625" style="184" customWidth="1"/>
    <col min="16133" max="16133" width="17.25390625" style="184" customWidth="1"/>
    <col min="16134" max="16134" width="15.50390625" style="184" customWidth="1"/>
    <col min="16135" max="16135" width="14.25390625" style="184" customWidth="1"/>
    <col min="16136" max="16136" width="9.875" style="184" customWidth="1"/>
    <col min="16137" max="16137" width="16.125" style="184" bestFit="1" customWidth="1"/>
    <col min="16138" max="16384" width="9.00390625" style="184" customWidth="1"/>
  </cols>
  <sheetData>
    <row r="1" spans="1:12" ht="13.5" customHeight="1">
      <c r="A1" s="1150" t="s">
        <v>334</v>
      </c>
      <c r="B1" s="1151"/>
      <c r="C1" s="1154" t="s">
        <v>709</v>
      </c>
      <c r="D1" s="1149" t="s">
        <v>335</v>
      </c>
      <c r="E1" s="1149" t="s">
        <v>336</v>
      </c>
      <c r="F1" s="1149" t="s">
        <v>337</v>
      </c>
      <c r="G1" s="1149"/>
      <c r="H1" s="1149"/>
      <c r="I1" s="1149" t="s">
        <v>338</v>
      </c>
      <c r="J1" s="1149"/>
      <c r="K1" s="1149"/>
      <c r="L1" s="1149" t="s">
        <v>339</v>
      </c>
    </row>
    <row r="2" spans="1:12" ht="13.5" customHeight="1">
      <c r="A2" s="1152"/>
      <c r="B2" s="1153"/>
      <c r="C2" s="1155"/>
      <c r="D2" s="1149"/>
      <c r="E2" s="1149"/>
      <c r="F2" s="287" t="s">
        <v>340</v>
      </c>
      <c r="G2" s="701" t="s">
        <v>341</v>
      </c>
      <c r="H2" s="701" t="s">
        <v>342</v>
      </c>
      <c r="I2" s="701" t="s">
        <v>340</v>
      </c>
      <c r="J2" s="701" t="s">
        <v>341</v>
      </c>
      <c r="K2" s="701" t="s">
        <v>343</v>
      </c>
      <c r="L2" s="1149"/>
    </row>
    <row r="3" spans="1:12" ht="13.5" customHeight="1">
      <c r="A3" s="1123" t="s">
        <v>344</v>
      </c>
      <c r="B3" s="1124"/>
      <c r="C3" s="1133" t="s">
        <v>710</v>
      </c>
      <c r="D3" s="1136" t="s">
        <v>345</v>
      </c>
      <c r="E3" s="185" t="s">
        <v>346</v>
      </c>
      <c r="F3" s="187"/>
      <c r="G3" s="212">
        <v>0</v>
      </c>
      <c r="H3" s="212">
        <v>0</v>
      </c>
      <c r="I3" s="212">
        <f>2712+9</f>
        <v>2721</v>
      </c>
      <c r="J3" s="212">
        <v>3363000</v>
      </c>
      <c r="K3" s="212">
        <f>I3*J3</f>
        <v>9150723000</v>
      </c>
      <c r="L3" s="212">
        <f>H3+K3</f>
        <v>9150723000</v>
      </c>
    </row>
    <row r="4" spans="1:12" ht="13.5" customHeight="1">
      <c r="A4" s="1125"/>
      <c r="B4" s="1126"/>
      <c r="C4" s="1134"/>
      <c r="D4" s="1137"/>
      <c r="E4" s="185" t="s">
        <v>0</v>
      </c>
      <c r="F4" s="187"/>
      <c r="G4" s="212">
        <v>0</v>
      </c>
      <c r="H4" s="212">
        <v>0</v>
      </c>
      <c r="I4" s="212">
        <f>2739+9</f>
        <v>2748</v>
      </c>
      <c r="J4" s="700">
        <v>3363000</v>
      </c>
      <c r="K4" s="212">
        <f aca="true" t="shared" si="0" ref="K4:K25">I4*J4</f>
        <v>9241524000</v>
      </c>
      <c r="L4" s="700">
        <f aca="true" t="shared" si="1" ref="L4:L25">H4+K4</f>
        <v>9241524000</v>
      </c>
    </row>
    <row r="5" spans="1:12" ht="13.5" customHeight="1">
      <c r="A5" s="1125"/>
      <c r="B5" s="1126"/>
      <c r="C5" s="1134"/>
      <c r="D5" s="1137"/>
      <c r="E5" s="185" t="s">
        <v>1</v>
      </c>
      <c r="F5" s="187"/>
      <c r="G5" s="212">
        <v>0</v>
      </c>
      <c r="H5" s="212">
        <v>0</v>
      </c>
      <c r="I5" s="212">
        <f>2832+9</f>
        <v>2841</v>
      </c>
      <c r="J5" s="700">
        <v>3363000</v>
      </c>
      <c r="K5" s="212">
        <f t="shared" si="0"/>
        <v>9554283000</v>
      </c>
      <c r="L5" s="700">
        <f t="shared" si="1"/>
        <v>9554283000</v>
      </c>
    </row>
    <row r="6" spans="1:12" ht="13.5" customHeight="1">
      <c r="A6" s="1125"/>
      <c r="B6" s="1126"/>
      <c r="C6" s="1134"/>
      <c r="D6" s="1137"/>
      <c r="E6" s="185" t="s">
        <v>2</v>
      </c>
      <c r="F6" s="187"/>
      <c r="G6" s="212">
        <v>0</v>
      </c>
      <c r="H6" s="212">
        <v>0</v>
      </c>
      <c r="I6" s="212">
        <f>3240+9</f>
        <v>3249</v>
      </c>
      <c r="J6" s="700">
        <v>3363000</v>
      </c>
      <c r="K6" s="212">
        <f>I6*J6</f>
        <v>10926387000</v>
      </c>
      <c r="L6" s="700">
        <f t="shared" si="1"/>
        <v>10926387000</v>
      </c>
    </row>
    <row r="7" spans="1:12" ht="13.5" customHeight="1">
      <c r="A7" s="1125"/>
      <c r="B7" s="1126"/>
      <c r="C7" s="1134"/>
      <c r="D7" s="1137"/>
      <c r="E7" s="188" t="s">
        <v>347</v>
      </c>
      <c r="F7" s="187"/>
      <c r="G7" s="212">
        <v>0</v>
      </c>
      <c r="H7" s="212">
        <v>0</v>
      </c>
      <c r="I7" s="212">
        <v>496</v>
      </c>
      <c r="J7" s="212">
        <v>4039000</v>
      </c>
      <c r="K7" s="212">
        <f t="shared" si="0"/>
        <v>2003344000</v>
      </c>
      <c r="L7" s="700">
        <f t="shared" si="1"/>
        <v>2003344000</v>
      </c>
    </row>
    <row r="8" spans="1:12" ht="13.5" customHeight="1">
      <c r="A8" s="1125"/>
      <c r="B8" s="1126"/>
      <c r="C8" s="1134"/>
      <c r="D8" s="1137"/>
      <c r="E8" s="188" t="s">
        <v>348</v>
      </c>
      <c r="F8" s="187"/>
      <c r="G8" s="212">
        <v>0</v>
      </c>
      <c r="H8" s="212">
        <v>0</v>
      </c>
      <c r="I8" s="212">
        <v>470</v>
      </c>
      <c r="J8" s="212">
        <v>4039000</v>
      </c>
      <c r="K8" s="212">
        <f t="shared" si="0"/>
        <v>1898330000</v>
      </c>
      <c r="L8" s="700">
        <f t="shared" si="1"/>
        <v>1898330000</v>
      </c>
    </row>
    <row r="9" spans="1:12" ht="13.5" customHeight="1">
      <c r="A9" s="1125"/>
      <c r="B9" s="1126"/>
      <c r="C9" s="1134"/>
      <c r="D9" s="1137"/>
      <c r="E9" s="188" t="s">
        <v>349</v>
      </c>
      <c r="F9" s="187"/>
      <c r="G9" s="212">
        <v>0</v>
      </c>
      <c r="H9" s="212">
        <v>0</v>
      </c>
      <c r="I9" s="212">
        <v>482</v>
      </c>
      <c r="J9" s="212">
        <v>4039000</v>
      </c>
      <c r="K9" s="212">
        <f t="shared" si="0"/>
        <v>1946798000</v>
      </c>
      <c r="L9" s="700">
        <f t="shared" si="1"/>
        <v>1946798000</v>
      </c>
    </row>
    <row r="10" spans="1:12" ht="13.5" customHeight="1">
      <c r="A10" s="1125"/>
      <c r="B10" s="1126"/>
      <c r="C10" s="1134"/>
      <c r="D10" s="1137"/>
      <c r="E10" s="188" t="s">
        <v>97</v>
      </c>
      <c r="F10" s="187"/>
      <c r="G10" s="212">
        <v>0</v>
      </c>
      <c r="H10" s="212">
        <v>0</v>
      </c>
      <c r="I10" s="212">
        <v>595</v>
      </c>
      <c r="J10" s="212">
        <v>4039000</v>
      </c>
      <c r="K10" s="212">
        <f t="shared" si="0"/>
        <v>2403205000</v>
      </c>
      <c r="L10" s="700">
        <f t="shared" si="1"/>
        <v>2403205000</v>
      </c>
    </row>
    <row r="11" spans="1:12" ht="13.5" customHeight="1">
      <c r="A11" s="1125"/>
      <c r="B11" s="1126"/>
      <c r="C11" s="1134"/>
      <c r="D11" s="1137"/>
      <c r="E11" s="193" t="s">
        <v>361</v>
      </c>
      <c r="F11" s="187"/>
      <c r="G11" s="212">
        <v>0</v>
      </c>
      <c r="H11" s="212">
        <v>0</v>
      </c>
      <c r="I11" s="212">
        <v>35</v>
      </c>
      <c r="J11" s="212">
        <v>4039000</v>
      </c>
      <c r="K11" s="212">
        <f>I11*J11</f>
        <v>141365000</v>
      </c>
      <c r="L11" s="212">
        <f aca="true" t="shared" si="2" ref="L11:L16">H11+K11</f>
        <v>141365000</v>
      </c>
    </row>
    <row r="12" spans="1:12" ht="13.5" customHeight="1">
      <c r="A12" s="1125"/>
      <c r="B12" s="1126"/>
      <c r="C12" s="1134"/>
      <c r="D12" s="1137"/>
      <c r="E12" s="193" t="s">
        <v>15</v>
      </c>
      <c r="F12" s="187"/>
      <c r="G12" s="212">
        <v>0</v>
      </c>
      <c r="H12" s="212">
        <v>0</v>
      </c>
      <c r="I12" s="212">
        <f>27+1</f>
        <v>28</v>
      </c>
      <c r="J12" s="212">
        <v>4039000</v>
      </c>
      <c r="K12" s="212">
        <f>I12*J12</f>
        <v>113092000</v>
      </c>
      <c r="L12" s="212">
        <f t="shared" si="2"/>
        <v>113092000</v>
      </c>
    </row>
    <row r="13" spans="1:12" ht="13.5" customHeight="1">
      <c r="A13" s="1125"/>
      <c r="B13" s="1126"/>
      <c r="C13" s="1134"/>
      <c r="D13" s="1137"/>
      <c r="E13" s="193" t="s">
        <v>362</v>
      </c>
      <c r="F13" s="187"/>
      <c r="G13" s="212">
        <v>0</v>
      </c>
      <c r="H13" s="212">
        <v>0</v>
      </c>
      <c r="I13" s="212">
        <v>34</v>
      </c>
      <c r="J13" s="212">
        <v>4039000</v>
      </c>
      <c r="K13" s="212">
        <f>I13*J13</f>
        <v>137326000</v>
      </c>
      <c r="L13" s="212">
        <f t="shared" si="2"/>
        <v>137326000</v>
      </c>
    </row>
    <row r="14" spans="1:12" ht="13.5" customHeight="1">
      <c r="A14" s="1125"/>
      <c r="B14" s="1126"/>
      <c r="C14" s="1134"/>
      <c r="D14" s="1137"/>
      <c r="E14" s="193" t="s">
        <v>75</v>
      </c>
      <c r="F14" s="187"/>
      <c r="G14" s="212">
        <v>0</v>
      </c>
      <c r="H14" s="212">
        <v>0</v>
      </c>
      <c r="I14" s="212">
        <v>29</v>
      </c>
      <c r="J14" s="212">
        <v>4039000</v>
      </c>
      <c r="K14" s="212">
        <f>I14*J14</f>
        <v>117131000</v>
      </c>
      <c r="L14" s="212">
        <f t="shared" si="2"/>
        <v>117131000</v>
      </c>
    </row>
    <row r="15" spans="1:12" ht="13.5" customHeight="1">
      <c r="A15" s="1125"/>
      <c r="B15" s="1126"/>
      <c r="C15" s="1134"/>
      <c r="D15" s="1137"/>
      <c r="E15" s="193" t="s">
        <v>758</v>
      </c>
      <c r="F15" s="187"/>
      <c r="G15" s="212"/>
      <c r="H15" s="212"/>
      <c r="I15" s="212">
        <v>42</v>
      </c>
      <c r="J15" s="212">
        <v>3430000</v>
      </c>
      <c r="K15" s="212">
        <f>I15*J15</f>
        <v>144060000</v>
      </c>
      <c r="L15" s="212">
        <f t="shared" si="2"/>
        <v>144060000</v>
      </c>
    </row>
    <row r="16" spans="1:12" ht="13.5" customHeight="1">
      <c r="A16" s="1125"/>
      <c r="B16" s="1126"/>
      <c r="C16" s="1134"/>
      <c r="D16" s="1137"/>
      <c r="E16" s="185" t="s">
        <v>350</v>
      </c>
      <c r="F16" s="187"/>
      <c r="G16" s="212">
        <v>0</v>
      </c>
      <c r="H16" s="212">
        <v>0</v>
      </c>
      <c r="I16" s="212">
        <v>223</v>
      </c>
      <c r="J16" s="212">
        <v>561000</v>
      </c>
      <c r="K16" s="212">
        <f>I16*J16+430000</f>
        <v>125533000</v>
      </c>
      <c r="L16" s="700">
        <f t="shared" si="2"/>
        <v>125533000</v>
      </c>
    </row>
    <row r="17" spans="1:12" ht="13.5" customHeight="1">
      <c r="A17" s="1125"/>
      <c r="B17" s="1126"/>
      <c r="C17" s="1134"/>
      <c r="D17" s="1137"/>
      <c r="E17" s="189" t="s">
        <v>351</v>
      </c>
      <c r="F17" s="187"/>
      <c r="G17" s="212"/>
      <c r="H17" s="212"/>
      <c r="I17" s="212">
        <v>15</v>
      </c>
      <c r="J17" s="212">
        <v>673000</v>
      </c>
      <c r="K17" s="212">
        <f t="shared" si="0"/>
        <v>10095000</v>
      </c>
      <c r="L17" s="700">
        <f t="shared" si="1"/>
        <v>10095000</v>
      </c>
    </row>
    <row r="18" spans="1:12" ht="13.5" customHeight="1">
      <c r="A18" s="1125"/>
      <c r="B18" s="1126"/>
      <c r="C18" s="1134"/>
      <c r="D18" s="1137"/>
      <c r="E18" s="189" t="s">
        <v>363</v>
      </c>
      <c r="F18" s="187"/>
      <c r="G18" s="212"/>
      <c r="H18" s="212"/>
      <c r="I18" s="212">
        <v>1</v>
      </c>
      <c r="J18" s="212">
        <v>673000</v>
      </c>
      <c r="K18" s="212">
        <f>I18*J18</f>
        <v>673000</v>
      </c>
      <c r="L18" s="212">
        <f>H18+K18</f>
        <v>673000</v>
      </c>
    </row>
    <row r="19" spans="1:12" ht="13.5" customHeight="1">
      <c r="A19" s="1125"/>
      <c r="B19" s="1126"/>
      <c r="C19" s="1134"/>
      <c r="D19" s="1137"/>
      <c r="E19" s="185" t="s">
        <v>352</v>
      </c>
      <c r="F19" s="187"/>
      <c r="G19" s="212">
        <v>0</v>
      </c>
      <c r="H19" s="212">
        <v>0</v>
      </c>
      <c r="I19" s="212">
        <v>149</v>
      </c>
      <c r="J19" s="212">
        <v>1121000</v>
      </c>
      <c r="K19" s="212">
        <f t="shared" si="0"/>
        <v>167029000</v>
      </c>
      <c r="L19" s="700">
        <f t="shared" si="1"/>
        <v>167029000</v>
      </c>
    </row>
    <row r="20" spans="1:12" ht="13.5" customHeight="1">
      <c r="A20" s="1125"/>
      <c r="B20" s="1126"/>
      <c r="C20" s="1134"/>
      <c r="D20" s="1137"/>
      <c r="E20" s="189" t="s">
        <v>353</v>
      </c>
      <c r="F20" s="187"/>
      <c r="G20" s="212"/>
      <c r="H20" s="212"/>
      <c r="I20" s="212">
        <v>19</v>
      </c>
      <c r="J20" s="212">
        <v>1346000</v>
      </c>
      <c r="K20" s="212">
        <f t="shared" si="0"/>
        <v>25574000</v>
      </c>
      <c r="L20" s="700">
        <f t="shared" si="1"/>
        <v>25574000</v>
      </c>
    </row>
    <row r="21" spans="1:12" ht="13.5" customHeight="1">
      <c r="A21" s="1125"/>
      <c r="B21" s="1126"/>
      <c r="C21" s="1134"/>
      <c r="D21" s="1137"/>
      <c r="E21" s="189" t="s">
        <v>364</v>
      </c>
      <c r="F21" s="187"/>
      <c r="G21" s="212"/>
      <c r="H21" s="212"/>
      <c r="I21" s="212">
        <v>0</v>
      </c>
      <c r="J21" s="212">
        <v>1346000</v>
      </c>
      <c r="K21" s="212">
        <f>I21*J21</f>
        <v>0</v>
      </c>
      <c r="L21" s="212">
        <f>H21+K21</f>
        <v>0</v>
      </c>
    </row>
    <row r="22" spans="1:12" ht="13.5" customHeight="1">
      <c r="A22" s="1125"/>
      <c r="B22" s="1126"/>
      <c r="C22" s="1134"/>
      <c r="D22" s="1137"/>
      <c r="E22" s="185" t="s">
        <v>354</v>
      </c>
      <c r="F22" s="187"/>
      <c r="G22" s="212">
        <v>0</v>
      </c>
      <c r="H22" s="212">
        <v>0</v>
      </c>
      <c r="I22" s="212">
        <v>175</v>
      </c>
      <c r="J22" s="212">
        <v>1682000</v>
      </c>
      <c r="K22" s="212">
        <f t="shared" si="0"/>
        <v>294350000</v>
      </c>
      <c r="L22" s="700">
        <f t="shared" si="1"/>
        <v>294350000</v>
      </c>
    </row>
    <row r="23" spans="1:12" ht="13.5" customHeight="1">
      <c r="A23" s="1125"/>
      <c r="B23" s="1126"/>
      <c r="C23" s="1134"/>
      <c r="D23" s="1137"/>
      <c r="E23" s="189" t="s">
        <v>1011</v>
      </c>
      <c r="F23" s="187"/>
      <c r="G23" s="212"/>
      <c r="H23" s="212"/>
      <c r="I23" s="212">
        <v>1</v>
      </c>
      <c r="J23" s="212">
        <v>2020000</v>
      </c>
      <c r="K23" s="212">
        <f t="shared" si="0"/>
        <v>2020000</v>
      </c>
      <c r="L23" s="700">
        <f t="shared" si="1"/>
        <v>2020000</v>
      </c>
    </row>
    <row r="24" spans="1:12" ht="13.5" customHeight="1">
      <c r="A24" s="1125"/>
      <c r="B24" s="1126"/>
      <c r="C24" s="1134"/>
      <c r="D24" s="1137"/>
      <c r="E24" s="189" t="s">
        <v>355</v>
      </c>
      <c r="F24" s="187"/>
      <c r="G24" s="212"/>
      <c r="H24" s="212"/>
      <c r="I24" s="212">
        <v>20</v>
      </c>
      <c r="J24" s="212">
        <v>2020000</v>
      </c>
      <c r="K24" s="212">
        <f t="shared" si="0"/>
        <v>40400000</v>
      </c>
      <c r="L24" s="700">
        <f t="shared" si="1"/>
        <v>40400000</v>
      </c>
    </row>
    <row r="25" spans="1:12" ht="13.5" customHeight="1">
      <c r="A25" s="1125"/>
      <c r="B25" s="1126"/>
      <c r="C25" s="1134"/>
      <c r="D25" s="1137"/>
      <c r="E25" s="185" t="s">
        <v>356</v>
      </c>
      <c r="F25" s="187"/>
      <c r="G25" s="212">
        <v>0</v>
      </c>
      <c r="H25" s="212">
        <v>0</v>
      </c>
      <c r="I25" s="212">
        <v>0</v>
      </c>
      <c r="J25" s="212">
        <v>3363000</v>
      </c>
      <c r="K25" s="212">
        <f t="shared" si="0"/>
        <v>0</v>
      </c>
      <c r="L25" s="700">
        <f t="shared" si="1"/>
        <v>0</v>
      </c>
    </row>
    <row r="26" spans="1:12" ht="13.5" customHeight="1">
      <c r="A26" s="1125"/>
      <c r="B26" s="1126"/>
      <c r="C26" s="1134"/>
      <c r="D26" s="1137"/>
      <c r="E26" s="185" t="s">
        <v>357</v>
      </c>
      <c r="F26" s="190">
        <v>3994</v>
      </c>
      <c r="G26" s="212">
        <v>1007000</v>
      </c>
      <c r="H26" s="212">
        <f>F26*G26</f>
        <v>4021958000</v>
      </c>
      <c r="I26" s="212">
        <v>0</v>
      </c>
      <c r="J26" s="212">
        <v>0</v>
      </c>
      <c r="K26" s="212">
        <v>0</v>
      </c>
      <c r="L26" s="700">
        <f>H26+K26</f>
        <v>4021958000</v>
      </c>
    </row>
    <row r="27" spans="1:12" ht="13.5" customHeight="1">
      <c r="A27" s="1125"/>
      <c r="B27" s="1126"/>
      <c r="C27" s="1134"/>
      <c r="D27" s="1137"/>
      <c r="E27" s="288" t="s">
        <v>358</v>
      </c>
      <c r="F27" s="289">
        <f>SUM(F3:F26)</f>
        <v>3994</v>
      </c>
      <c r="G27" s="290">
        <v>0</v>
      </c>
      <c r="H27" s="290">
        <f>SUM(H3:H26)</f>
        <v>4021958000</v>
      </c>
      <c r="I27" s="290">
        <f>SUM(I3:I26)</f>
        <v>14373</v>
      </c>
      <c r="J27" s="290">
        <v>0</v>
      </c>
      <c r="K27" s="290">
        <f>SUM(K3:K26)</f>
        <v>48443242000</v>
      </c>
      <c r="L27" s="290">
        <f>SUM(L3:L26)</f>
        <v>52465200000</v>
      </c>
    </row>
    <row r="28" spans="1:12" ht="13.5" customHeight="1">
      <c r="A28" s="1125"/>
      <c r="B28" s="1126"/>
      <c r="C28" s="1134"/>
      <c r="D28" s="1136" t="s">
        <v>359</v>
      </c>
      <c r="E28" s="185" t="s">
        <v>346</v>
      </c>
      <c r="F28" s="187"/>
      <c r="G28" s="212">
        <v>0</v>
      </c>
      <c r="H28" s="212">
        <v>0</v>
      </c>
      <c r="I28" s="212">
        <v>262</v>
      </c>
      <c r="J28" s="212">
        <v>3858000</v>
      </c>
      <c r="K28" s="212">
        <f>I28*J28</f>
        <v>1010796000</v>
      </c>
      <c r="L28" s="212">
        <f>H28+K28</f>
        <v>1010796000</v>
      </c>
    </row>
    <row r="29" spans="1:12" ht="13.5" customHeight="1">
      <c r="A29" s="1125"/>
      <c r="B29" s="1126"/>
      <c r="C29" s="1134"/>
      <c r="D29" s="1137"/>
      <c r="E29" s="185" t="s">
        <v>0</v>
      </c>
      <c r="F29" s="187"/>
      <c r="G29" s="212">
        <v>0</v>
      </c>
      <c r="H29" s="212">
        <v>0</v>
      </c>
      <c r="I29" s="212">
        <f>302-34</f>
        <v>268</v>
      </c>
      <c r="J29" s="212">
        <v>3858000</v>
      </c>
      <c r="K29" s="212">
        <f aca="true" t="shared" si="3" ref="K29:K36">I29*J29</f>
        <v>1033944000</v>
      </c>
      <c r="L29" s="212">
        <f aca="true" t="shared" si="4" ref="L29:L36">H29+K29</f>
        <v>1033944000</v>
      </c>
    </row>
    <row r="30" spans="1:12" ht="13.5" customHeight="1">
      <c r="A30" s="1125"/>
      <c r="B30" s="1126"/>
      <c r="C30" s="1134"/>
      <c r="D30" s="1137"/>
      <c r="E30" s="185" t="s">
        <v>1</v>
      </c>
      <c r="F30" s="187"/>
      <c r="G30" s="212">
        <v>0</v>
      </c>
      <c r="H30" s="212">
        <v>0</v>
      </c>
      <c r="I30" s="212">
        <v>285</v>
      </c>
      <c r="J30" s="212">
        <v>3858000</v>
      </c>
      <c r="K30" s="212">
        <f t="shared" si="3"/>
        <v>1099530000</v>
      </c>
      <c r="L30" s="212">
        <f t="shared" si="4"/>
        <v>1099530000</v>
      </c>
    </row>
    <row r="31" spans="1:12" ht="13.5" customHeight="1">
      <c r="A31" s="1125"/>
      <c r="B31" s="1126"/>
      <c r="C31" s="1134"/>
      <c r="D31" s="1137"/>
      <c r="E31" s="185" t="s">
        <v>2</v>
      </c>
      <c r="F31" s="187"/>
      <c r="G31" s="212">
        <v>0</v>
      </c>
      <c r="H31" s="212">
        <v>0</v>
      </c>
      <c r="I31" s="212">
        <v>267</v>
      </c>
      <c r="J31" s="212">
        <v>3858000</v>
      </c>
      <c r="K31" s="212">
        <f t="shared" si="3"/>
        <v>1030086000</v>
      </c>
      <c r="L31" s="212">
        <f t="shared" si="4"/>
        <v>1030086000</v>
      </c>
    </row>
    <row r="32" spans="1:12" ht="13.5" customHeight="1">
      <c r="A32" s="1125"/>
      <c r="B32" s="1126"/>
      <c r="C32" s="1134"/>
      <c r="D32" s="1137"/>
      <c r="E32" s="185" t="s">
        <v>350</v>
      </c>
      <c r="F32" s="187"/>
      <c r="G32" s="192">
        <v>0</v>
      </c>
      <c r="H32" s="212">
        <v>0</v>
      </c>
      <c r="I32" s="212">
        <v>9</v>
      </c>
      <c r="J32" s="212">
        <v>643000</v>
      </c>
      <c r="K32" s="212">
        <f t="shared" si="3"/>
        <v>5787000</v>
      </c>
      <c r="L32" s="212">
        <f t="shared" si="4"/>
        <v>5787000</v>
      </c>
    </row>
    <row r="33" spans="1:12" ht="13.5" customHeight="1">
      <c r="A33" s="1125"/>
      <c r="B33" s="1126"/>
      <c r="C33" s="1134"/>
      <c r="D33" s="1137"/>
      <c r="E33" s="185" t="s">
        <v>352</v>
      </c>
      <c r="F33" s="187"/>
      <c r="G33" s="192">
        <v>0</v>
      </c>
      <c r="H33" s="212">
        <v>0</v>
      </c>
      <c r="I33" s="212">
        <v>14</v>
      </c>
      <c r="J33" s="212">
        <v>1286000</v>
      </c>
      <c r="K33" s="212">
        <f t="shared" si="3"/>
        <v>18004000</v>
      </c>
      <c r="L33" s="212">
        <f t="shared" si="4"/>
        <v>18004000</v>
      </c>
    </row>
    <row r="34" spans="1:12" ht="13.5" customHeight="1">
      <c r="A34" s="1125"/>
      <c r="B34" s="1126"/>
      <c r="C34" s="1134"/>
      <c r="D34" s="1137"/>
      <c r="E34" s="185" t="s">
        <v>354</v>
      </c>
      <c r="F34" s="187"/>
      <c r="G34" s="192">
        <v>0</v>
      </c>
      <c r="H34" s="212">
        <v>0</v>
      </c>
      <c r="I34" s="212">
        <v>11</v>
      </c>
      <c r="J34" s="212">
        <v>1929000</v>
      </c>
      <c r="K34" s="212">
        <f t="shared" si="3"/>
        <v>21219000</v>
      </c>
      <c r="L34" s="212">
        <f t="shared" si="4"/>
        <v>21219000</v>
      </c>
    </row>
    <row r="35" spans="1:12" ht="13.5" customHeight="1">
      <c r="A35" s="1125"/>
      <c r="B35" s="1126"/>
      <c r="C35" s="1134"/>
      <c r="D35" s="1137"/>
      <c r="E35" s="185" t="s">
        <v>356</v>
      </c>
      <c r="F35" s="187"/>
      <c r="G35" s="192">
        <v>0</v>
      </c>
      <c r="H35" s="212">
        <v>0</v>
      </c>
      <c r="I35" s="212">
        <v>0</v>
      </c>
      <c r="J35" s="212">
        <v>3858000</v>
      </c>
      <c r="K35" s="212">
        <f t="shared" si="3"/>
        <v>0</v>
      </c>
      <c r="L35" s="212">
        <f t="shared" si="4"/>
        <v>0</v>
      </c>
    </row>
    <row r="36" spans="1:12" ht="13.5" customHeight="1">
      <c r="A36" s="1125"/>
      <c r="B36" s="1126"/>
      <c r="C36" s="1134"/>
      <c r="D36" s="1137"/>
      <c r="E36" s="185" t="s">
        <v>357</v>
      </c>
      <c r="F36" s="190"/>
      <c r="G36" s="212">
        <v>1007000</v>
      </c>
      <c r="H36" s="212">
        <v>0</v>
      </c>
      <c r="I36" s="212"/>
      <c r="J36" s="212">
        <v>0</v>
      </c>
      <c r="K36" s="212">
        <f t="shared" si="3"/>
        <v>0</v>
      </c>
      <c r="L36" s="212">
        <f t="shared" si="4"/>
        <v>0</v>
      </c>
    </row>
    <row r="37" spans="1:12" ht="13.5" customHeight="1">
      <c r="A37" s="1127"/>
      <c r="B37" s="1128"/>
      <c r="C37" s="1135"/>
      <c r="D37" s="1138"/>
      <c r="E37" s="288" t="s">
        <v>358</v>
      </c>
      <c r="F37" s="289">
        <v>0</v>
      </c>
      <c r="G37" s="290">
        <v>0</v>
      </c>
      <c r="H37" s="290">
        <v>0</v>
      </c>
      <c r="I37" s="290">
        <f>SUM(I28:I35)</f>
        <v>1116</v>
      </c>
      <c r="J37" s="290">
        <v>0</v>
      </c>
      <c r="K37" s="290">
        <f>SUM(K28:K36)</f>
        <v>4219366000</v>
      </c>
      <c r="L37" s="290">
        <f>SUM(L28:L36)</f>
        <v>4219366000</v>
      </c>
    </row>
    <row r="38" spans="1:12" ht="13.5" customHeight="1">
      <c r="A38" s="1123" t="s">
        <v>1646</v>
      </c>
      <c r="B38" s="1124"/>
      <c r="C38" s="1133" t="s">
        <v>781</v>
      </c>
      <c r="D38" s="1136" t="s">
        <v>780</v>
      </c>
      <c r="E38" s="185" t="s">
        <v>346</v>
      </c>
      <c r="F38" s="187"/>
      <c r="G38" s="212">
        <v>0</v>
      </c>
      <c r="H38" s="212">
        <v>0</v>
      </c>
      <c r="I38" s="212">
        <f>272+20</f>
        <v>292</v>
      </c>
      <c r="J38" s="212">
        <v>4221000</v>
      </c>
      <c r="K38" s="212">
        <f>I38*J38</f>
        <v>1232532000</v>
      </c>
      <c r="L38" s="212">
        <f>H38+K38</f>
        <v>1232532000</v>
      </c>
    </row>
    <row r="39" spans="1:12" ht="13.5" customHeight="1">
      <c r="A39" s="1125"/>
      <c r="B39" s="1126"/>
      <c r="C39" s="1134"/>
      <c r="D39" s="1137"/>
      <c r="E39" s="185" t="s">
        <v>0</v>
      </c>
      <c r="F39" s="187"/>
      <c r="G39" s="212">
        <v>0</v>
      </c>
      <c r="H39" s="212">
        <v>0</v>
      </c>
      <c r="I39" s="212">
        <f>290+20</f>
        <v>310</v>
      </c>
      <c r="J39" s="212">
        <v>4221000</v>
      </c>
      <c r="K39" s="212">
        <f aca="true" t="shared" si="5" ref="K39:K46">I39*J39</f>
        <v>1308510000</v>
      </c>
      <c r="L39" s="212">
        <f aca="true" t="shared" si="6" ref="L39:L47">H39+K39</f>
        <v>1308510000</v>
      </c>
    </row>
    <row r="40" spans="1:12" ht="13.5" customHeight="1">
      <c r="A40" s="1125"/>
      <c r="B40" s="1126"/>
      <c r="C40" s="1134"/>
      <c r="D40" s="1137"/>
      <c r="E40" s="185" t="s">
        <v>1</v>
      </c>
      <c r="F40" s="187"/>
      <c r="G40" s="212">
        <v>0</v>
      </c>
      <c r="H40" s="212">
        <v>0</v>
      </c>
      <c r="I40" s="212">
        <f>278+20</f>
        <v>298</v>
      </c>
      <c r="J40" s="212">
        <v>4221000</v>
      </c>
      <c r="K40" s="212">
        <f t="shared" si="5"/>
        <v>1257858000</v>
      </c>
      <c r="L40" s="212">
        <f t="shared" si="6"/>
        <v>1257858000</v>
      </c>
    </row>
    <row r="41" spans="1:12" ht="13.5" customHeight="1">
      <c r="A41" s="1125"/>
      <c r="B41" s="1126"/>
      <c r="C41" s="1134"/>
      <c r="D41" s="1137"/>
      <c r="E41" s="185" t="s">
        <v>2</v>
      </c>
      <c r="F41" s="187"/>
      <c r="G41" s="212">
        <v>0</v>
      </c>
      <c r="H41" s="212">
        <v>0</v>
      </c>
      <c r="I41" s="212">
        <f>319+20</f>
        <v>339</v>
      </c>
      <c r="J41" s="212">
        <v>4221000</v>
      </c>
      <c r="K41" s="212">
        <f t="shared" si="5"/>
        <v>1430919000</v>
      </c>
      <c r="L41" s="212">
        <f t="shared" si="6"/>
        <v>1430919000</v>
      </c>
    </row>
    <row r="42" spans="1:12" ht="13.5" customHeight="1">
      <c r="A42" s="1125"/>
      <c r="B42" s="1126"/>
      <c r="C42" s="1134"/>
      <c r="D42" s="1137"/>
      <c r="E42" s="185" t="s">
        <v>360</v>
      </c>
      <c r="F42" s="187"/>
      <c r="G42" s="212">
        <v>0</v>
      </c>
      <c r="H42" s="212">
        <v>0</v>
      </c>
      <c r="I42" s="212"/>
      <c r="J42" s="212"/>
      <c r="K42" s="212">
        <f t="shared" si="5"/>
        <v>0</v>
      </c>
      <c r="L42" s="212">
        <f t="shared" si="6"/>
        <v>0</v>
      </c>
    </row>
    <row r="43" spans="1:12" ht="13.5" customHeight="1">
      <c r="A43" s="1125"/>
      <c r="B43" s="1126"/>
      <c r="C43" s="1134"/>
      <c r="D43" s="1137"/>
      <c r="E43" s="185" t="s">
        <v>350</v>
      </c>
      <c r="F43" s="187"/>
      <c r="G43" s="212">
        <v>0</v>
      </c>
      <c r="H43" s="212">
        <v>0</v>
      </c>
      <c r="I43" s="212">
        <v>12</v>
      </c>
      <c r="J43" s="212">
        <v>704000</v>
      </c>
      <c r="K43" s="212">
        <f t="shared" si="5"/>
        <v>8448000</v>
      </c>
      <c r="L43" s="212">
        <f t="shared" si="6"/>
        <v>8448000</v>
      </c>
    </row>
    <row r="44" spans="1:12" ht="13.5" customHeight="1">
      <c r="A44" s="1125"/>
      <c r="B44" s="1126"/>
      <c r="C44" s="1134"/>
      <c r="D44" s="1137"/>
      <c r="E44" s="185" t="s">
        <v>352</v>
      </c>
      <c r="F44" s="187"/>
      <c r="G44" s="212">
        <v>0</v>
      </c>
      <c r="H44" s="212">
        <v>0</v>
      </c>
      <c r="I44" s="212">
        <v>15</v>
      </c>
      <c r="J44" s="212">
        <v>1407000</v>
      </c>
      <c r="K44" s="212">
        <f t="shared" si="5"/>
        <v>21105000</v>
      </c>
      <c r="L44" s="212">
        <f t="shared" si="6"/>
        <v>21105000</v>
      </c>
    </row>
    <row r="45" spans="1:12" ht="13.5" customHeight="1">
      <c r="A45" s="1125"/>
      <c r="B45" s="1126"/>
      <c r="C45" s="1134"/>
      <c r="D45" s="1137"/>
      <c r="E45" s="185" t="s">
        <v>354</v>
      </c>
      <c r="F45" s="187"/>
      <c r="G45" s="212">
        <v>0</v>
      </c>
      <c r="H45" s="212">
        <v>0</v>
      </c>
      <c r="I45" s="212">
        <v>16</v>
      </c>
      <c r="J45" s="212">
        <v>2111000</v>
      </c>
      <c r="K45" s="212">
        <f t="shared" si="5"/>
        <v>33776000</v>
      </c>
      <c r="L45" s="212">
        <f t="shared" si="6"/>
        <v>33776000</v>
      </c>
    </row>
    <row r="46" spans="1:12" ht="13.5" customHeight="1">
      <c r="A46" s="1125"/>
      <c r="B46" s="1126"/>
      <c r="C46" s="1134"/>
      <c r="D46" s="1137"/>
      <c r="E46" s="185" t="s">
        <v>356</v>
      </c>
      <c r="F46" s="187"/>
      <c r="G46" s="212">
        <v>0</v>
      </c>
      <c r="H46" s="212">
        <v>0</v>
      </c>
      <c r="I46" s="212">
        <v>0</v>
      </c>
      <c r="J46" s="212">
        <v>4221000</v>
      </c>
      <c r="K46" s="212">
        <f t="shared" si="5"/>
        <v>0</v>
      </c>
      <c r="L46" s="212">
        <f t="shared" si="6"/>
        <v>0</v>
      </c>
    </row>
    <row r="47" spans="1:12" ht="13.5" customHeight="1">
      <c r="A47" s="1125"/>
      <c r="B47" s="1126"/>
      <c r="C47" s="1134"/>
      <c r="D47" s="1137"/>
      <c r="E47" s="185" t="s">
        <v>357</v>
      </c>
      <c r="F47" s="190"/>
      <c r="G47" s="212">
        <v>1007000</v>
      </c>
      <c r="H47" s="212">
        <v>0</v>
      </c>
      <c r="I47" s="212">
        <v>0</v>
      </c>
      <c r="J47" s="212">
        <v>0</v>
      </c>
      <c r="K47" s="212">
        <v>0</v>
      </c>
      <c r="L47" s="212">
        <f t="shared" si="6"/>
        <v>0</v>
      </c>
    </row>
    <row r="48" spans="1:12" ht="13.5" customHeight="1">
      <c r="A48" s="1125"/>
      <c r="B48" s="1126"/>
      <c r="C48" s="1134"/>
      <c r="D48" s="1138"/>
      <c r="E48" s="291" t="s">
        <v>358</v>
      </c>
      <c r="F48" s="292">
        <v>0</v>
      </c>
      <c r="G48" s="293">
        <v>0</v>
      </c>
      <c r="H48" s="293">
        <v>0</v>
      </c>
      <c r="I48" s="293">
        <f>SUM(I38:I46)</f>
        <v>1282</v>
      </c>
      <c r="J48" s="293">
        <v>0</v>
      </c>
      <c r="K48" s="293">
        <f>SUM(K38:K47)</f>
        <v>5293148000</v>
      </c>
      <c r="L48" s="293">
        <f>SUM(L38:L47)</f>
        <v>5293148000</v>
      </c>
    </row>
    <row r="49" spans="1:12" ht="13.5" customHeight="1">
      <c r="A49" s="1125"/>
      <c r="B49" s="1126"/>
      <c r="C49" s="1135"/>
      <c r="D49" s="1145" t="s">
        <v>765</v>
      </c>
      <c r="E49" s="1145"/>
      <c r="F49" s="393"/>
      <c r="G49" s="699"/>
      <c r="H49" s="699"/>
      <c r="I49" s="699"/>
      <c r="J49" s="699"/>
      <c r="K49" s="699">
        <v>958507000</v>
      </c>
      <c r="L49" s="212">
        <f>K49</f>
        <v>958507000</v>
      </c>
    </row>
    <row r="50" spans="1:12" ht="13.5" customHeight="1">
      <c r="A50" s="1125"/>
      <c r="B50" s="1126"/>
      <c r="C50" s="1143" t="s">
        <v>712</v>
      </c>
      <c r="D50" s="1143"/>
      <c r="E50" s="1143"/>
      <c r="F50" s="294">
        <f>F48+F37+F27</f>
        <v>3994</v>
      </c>
      <c r="G50" s="295"/>
      <c r="H50" s="295">
        <f>H48+H37+H27</f>
        <v>4021958000</v>
      </c>
      <c r="I50" s="295">
        <f>I48+I37+I27</f>
        <v>16771</v>
      </c>
      <c r="J50" s="295"/>
      <c r="K50" s="295">
        <f>K48+K37+K27+K49</f>
        <v>58914263000</v>
      </c>
      <c r="L50" s="295">
        <f>L48+L37+L27+L49</f>
        <v>62936221000</v>
      </c>
    </row>
    <row r="51" spans="1:12" ht="13.5" customHeight="1">
      <c r="A51" s="1125"/>
      <c r="B51" s="1126"/>
      <c r="C51" s="1133" t="s">
        <v>713</v>
      </c>
      <c r="D51" s="1136" t="s">
        <v>345</v>
      </c>
      <c r="E51" s="296" t="s">
        <v>346</v>
      </c>
      <c r="F51" s="186"/>
      <c r="G51" s="700">
        <v>0</v>
      </c>
      <c r="H51" s="700">
        <v>0</v>
      </c>
      <c r="I51" s="700">
        <f>2415+21+9</f>
        <v>2445</v>
      </c>
      <c r="J51" s="700">
        <v>3363000</v>
      </c>
      <c r="K51" s="700">
        <f>I51*J51</f>
        <v>8222535000</v>
      </c>
      <c r="L51" s="700">
        <f>H51+K51</f>
        <v>8222535000</v>
      </c>
    </row>
    <row r="52" spans="1:12" ht="13.5" customHeight="1">
      <c r="A52" s="1125"/>
      <c r="B52" s="1126"/>
      <c r="C52" s="1134"/>
      <c r="D52" s="1137"/>
      <c r="E52" s="185" t="s">
        <v>0</v>
      </c>
      <c r="F52" s="187"/>
      <c r="G52" s="212">
        <v>0</v>
      </c>
      <c r="H52" s="212">
        <v>0</v>
      </c>
      <c r="I52" s="212">
        <f>2530+18+9</f>
        <v>2557</v>
      </c>
      <c r="J52" s="700">
        <v>3363000</v>
      </c>
      <c r="K52" s="700">
        <f aca="true" t="shared" si="7" ref="K52:K73">I52*J52</f>
        <v>8599191000</v>
      </c>
      <c r="L52" s="700">
        <f aca="true" t="shared" si="8" ref="L52:L74">H52+K52</f>
        <v>8599191000</v>
      </c>
    </row>
    <row r="53" spans="1:12" ht="13.5" customHeight="1">
      <c r="A53" s="1125"/>
      <c r="B53" s="1126"/>
      <c r="C53" s="1134"/>
      <c r="D53" s="1137"/>
      <c r="E53" s="185" t="s">
        <v>1</v>
      </c>
      <c r="F53" s="187"/>
      <c r="G53" s="212">
        <v>0</v>
      </c>
      <c r="H53" s="212">
        <v>0</v>
      </c>
      <c r="I53" s="212">
        <f>2380+31+9</f>
        <v>2420</v>
      </c>
      <c r="J53" s="700">
        <v>3363000</v>
      </c>
      <c r="K53" s="700">
        <f t="shared" si="7"/>
        <v>8138460000</v>
      </c>
      <c r="L53" s="700">
        <f t="shared" si="8"/>
        <v>8138460000</v>
      </c>
    </row>
    <row r="54" spans="1:12" ht="13.5" customHeight="1">
      <c r="A54" s="1125"/>
      <c r="B54" s="1126"/>
      <c r="C54" s="1134"/>
      <c r="D54" s="1137"/>
      <c r="E54" s="185" t="s">
        <v>2</v>
      </c>
      <c r="F54" s="187"/>
      <c r="G54" s="212">
        <v>0</v>
      </c>
      <c r="H54" s="212">
        <v>0</v>
      </c>
      <c r="I54" s="212">
        <f>3065+13+9</f>
        <v>3087</v>
      </c>
      <c r="J54" s="700">
        <v>3363000</v>
      </c>
      <c r="K54" s="700">
        <f t="shared" si="7"/>
        <v>10381581000</v>
      </c>
      <c r="L54" s="700">
        <f t="shared" si="8"/>
        <v>10381581000</v>
      </c>
    </row>
    <row r="55" spans="1:12" ht="13.5" customHeight="1">
      <c r="A55" s="1125"/>
      <c r="B55" s="1126"/>
      <c r="C55" s="1134"/>
      <c r="D55" s="1137"/>
      <c r="E55" s="188" t="s">
        <v>347</v>
      </c>
      <c r="F55" s="187"/>
      <c r="G55" s="212">
        <v>0</v>
      </c>
      <c r="H55" s="212">
        <v>0</v>
      </c>
      <c r="I55" s="212">
        <f>448+5</f>
        <v>453</v>
      </c>
      <c r="J55" s="212">
        <v>4039000</v>
      </c>
      <c r="K55" s="700">
        <f t="shared" si="7"/>
        <v>1829667000</v>
      </c>
      <c r="L55" s="700">
        <f t="shared" si="8"/>
        <v>1829667000</v>
      </c>
    </row>
    <row r="56" spans="1:12" ht="13.5" customHeight="1">
      <c r="A56" s="1125"/>
      <c r="B56" s="1126"/>
      <c r="C56" s="1134"/>
      <c r="D56" s="1137"/>
      <c r="E56" s="188" t="s">
        <v>348</v>
      </c>
      <c r="F56" s="187"/>
      <c r="G56" s="212">
        <v>0</v>
      </c>
      <c r="H56" s="212">
        <v>0</v>
      </c>
      <c r="I56" s="212">
        <f>436+5</f>
        <v>441</v>
      </c>
      <c r="J56" s="212">
        <v>4039000</v>
      </c>
      <c r="K56" s="700">
        <f t="shared" si="7"/>
        <v>1781199000</v>
      </c>
      <c r="L56" s="700">
        <f t="shared" si="8"/>
        <v>1781199000</v>
      </c>
    </row>
    <row r="57" spans="1:12" ht="13.5" customHeight="1">
      <c r="A57" s="1125"/>
      <c r="B57" s="1126"/>
      <c r="C57" s="1134"/>
      <c r="D57" s="1137"/>
      <c r="E57" s="188" t="s">
        <v>349</v>
      </c>
      <c r="F57" s="187"/>
      <c r="G57" s="212">
        <v>0</v>
      </c>
      <c r="H57" s="212">
        <v>0</v>
      </c>
      <c r="I57" s="212">
        <f>453+8</f>
        <v>461</v>
      </c>
      <c r="J57" s="212">
        <v>4039000</v>
      </c>
      <c r="K57" s="700">
        <f t="shared" si="7"/>
        <v>1861979000</v>
      </c>
      <c r="L57" s="700">
        <f t="shared" si="8"/>
        <v>1861979000</v>
      </c>
    </row>
    <row r="58" spans="1:12" ht="13.5" customHeight="1">
      <c r="A58" s="1125"/>
      <c r="B58" s="1126"/>
      <c r="C58" s="1134"/>
      <c r="D58" s="1137"/>
      <c r="E58" s="188" t="s">
        <v>97</v>
      </c>
      <c r="F58" s="187"/>
      <c r="G58" s="212">
        <v>0</v>
      </c>
      <c r="H58" s="212">
        <v>0</v>
      </c>
      <c r="I58" s="212">
        <f>568+2</f>
        <v>570</v>
      </c>
      <c r="J58" s="212">
        <v>4039000</v>
      </c>
      <c r="K58" s="700">
        <f t="shared" si="7"/>
        <v>2302230000</v>
      </c>
      <c r="L58" s="700">
        <f t="shared" si="8"/>
        <v>2302230000</v>
      </c>
    </row>
    <row r="59" spans="1:12" ht="13.5" customHeight="1">
      <c r="A59" s="1125"/>
      <c r="B59" s="1126"/>
      <c r="C59" s="1134"/>
      <c r="D59" s="1137"/>
      <c r="E59" s="193" t="s">
        <v>361</v>
      </c>
      <c r="F59" s="187"/>
      <c r="G59" s="212">
        <v>0</v>
      </c>
      <c r="H59" s="212">
        <v>0</v>
      </c>
      <c r="I59" s="212">
        <v>29</v>
      </c>
      <c r="J59" s="212">
        <v>4039000</v>
      </c>
      <c r="K59" s="212">
        <f>I59*J59</f>
        <v>117131000</v>
      </c>
      <c r="L59" s="212">
        <f>H59+K59</f>
        <v>117131000</v>
      </c>
    </row>
    <row r="60" spans="1:12" ht="13.5" customHeight="1">
      <c r="A60" s="1125"/>
      <c r="B60" s="1126"/>
      <c r="C60" s="1134"/>
      <c r="D60" s="1137"/>
      <c r="E60" s="193" t="s">
        <v>15</v>
      </c>
      <c r="F60" s="187"/>
      <c r="G60" s="212">
        <v>0</v>
      </c>
      <c r="H60" s="212">
        <v>0</v>
      </c>
      <c r="I60" s="212">
        <v>27</v>
      </c>
      <c r="J60" s="212">
        <v>4039000</v>
      </c>
      <c r="K60" s="212">
        <f>I60*J60</f>
        <v>109053000</v>
      </c>
      <c r="L60" s="212">
        <f>H60+K60</f>
        <v>109053000</v>
      </c>
    </row>
    <row r="61" spans="1:12" ht="13.5" customHeight="1">
      <c r="A61" s="1125"/>
      <c r="B61" s="1126"/>
      <c r="C61" s="1134"/>
      <c r="D61" s="1137"/>
      <c r="E61" s="193" t="s">
        <v>362</v>
      </c>
      <c r="F61" s="187"/>
      <c r="G61" s="212">
        <v>0</v>
      </c>
      <c r="H61" s="212">
        <v>0</v>
      </c>
      <c r="I61" s="212">
        <v>30</v>
      </c>
      <c r="J61" s="212">
        <v>4039000</v>
      </c>
      <c r="K61" s="212">
        <f>I61*J61</f>
        <v>121170000</v>
      </c>
      <c r="L61" s="212">
        <f>H61+K61</f>
        <v>121170000</v>
      </c>
    </row>
    <row r="62" spans="1:12" ht="13.5" customHeight="1">
      <c r="A62" s="1125"/>
      <c r="B62" s="1126"/>
      <c r="C62" s="1134"/>
      <c r="D62" s="1137"/>
      <c r="E62" s="193" t="s">
        <v>75</v>
      </c>
      <c r="F62" s="187"/>
      <c r="G62" s="212">
        <v>0</v>
      </c>
      <c r="H62" s="212">
        <v>0</v>
      </c>
      <c r="I62" s="212">
        <v>29</v>
      </c>
      <c r="J62" s="212">
        <v>4039000</v>
      </c>
      <c r="K62" s="212">
        <f>I62*J62</f>
        <v>117131000</v>
      </c>
      <c r="L62" s="212">
        <f>H62+K62</f>
        <v>117131000</v>
      </c>
    </row>
    <row r="63" spans="1:12" ht="13.5" customHeight="1">
      <c r="A63" s="1125"/>
      <c r="B63" s="1126"/>
      <c r="C63" s="1134"/>
      <c r="D63" s="1137"/>
      <c r="E63" s="193" t="s">
        <v>758</v>
      </c>
      <c r="F63" s="187"/>
      <c r="G63" s="212"/>
      <c r="H63" s="212"/>
      <c r="I63" s="212">
        <v>34</v>
      </c>
      <c r="J63" s="212">
        <v>3430000</v>
      </c>
      <c r="K63" s="212">
        <f>I63*J63</f>
        <v>116620000</v>
      </c>
      <c r="L63" s="212">
        <f>H63+K63</f>
        <v>116620000</v>
      </c>
    </row>
    <row r="64" spans="1:12" ht="13.5" customHeight="1">
      <c r="A64" s="1125"/>
      <c r="B64" s="1126"/>
      <c r="C64" s="1134"/>
      <c r="D64" s="1137"/>
      <c r="E64" s="185" t="s">
        <v>350</v>
      </c>
      <c r="F64" s="187"/>
      <c r="G64" s="212">
        <v>0</v>
      </c>
      <c r="H64" s="212">
        <v>0</v>
      </c>
      <c r="I64" s="212">
        <v>269</v>
      </c>
      <c r="J64" s="212">
        <v>561000</v>
      </c>
      <c r="K64" s="700">
        <f t="shared" si="7"/>
        <v>150909000</v>
      </c>
      <c r="L64" s="700">
        <f t="shared" si="8"/>
        <v>150909000</v>
      </c>
    </row>
    <row r="65" spans="1:12" ht="13.5" customHeight="1">
      <c r="A65" s="1125"/>
      <c r="B65" s="1126"/>
      <c r="C65" s="1134"/>
      <c r="D65" s="1137"/>
      <c r="E65" s="189" t="s">
        <v>351</v>
      </c>
      <c r="F65" s="187"/>
      <c r="G65" s="212"/>
      <c r="H65" s="212"/>
      <c r="I65" s="212">
        <v>30</v>
      </c>
      <c r="J65" s="212">
        <v>673000</v>
      </c>
      <c r="K65" s="700">
        <f t="shared" si="7"/>
        <v>20190000</v>
      </c>
      <c r="L65" s="700">
        <f t="shared" si="8"/>
        <v>20190000</v>
      </c>
    </row>
    <row r="66" spans="1:12" ht="13.5" customHeight="1">
      <c r="A66" s="1125"/>
      <c r="B66" s="1126"/>
      <c r="C66" s="1134"/>
      <c r="D66" s="1137"/>
      <c r="E66" s="189" t="s">
        <v>363</v>
      </c>
      <c r="F66" s="187"/>
      <c r="G66" s="212"/>
      <c r="H66" s="212"/>
      <c r="I66" s="212"/>
      <c r="J66" s="212">
        <v>673000</v>
      </c>
      <c r="K66" s="212">
        <f>I66*J66</f>
        <v>0</v>
      </c>
      <c r="L66" s="212">
        <f>H66+K66</f>
        <v>0</v>
      </c>
    </row>
    <row r="67" spans="1:12" ht="13.5" customHeight="1">
      <c r="A67" s="1125"/>
      <c r="B67" s="1126"/>
      <c r="C67" s="1134"/>
      <c r="D67" s="1137"/>
      <c r="E67" s="185" t="s">
        <v>352</v>
      </c>
      <c r="F67" s="187"/>
      <c r="G67" s="212">
        <v>0</v>
      </c>
      <c r="H67" s="212">
        <v>0</v>
      </c>
      <c r="I67" s="212">
        <v>134</v>
      </c>
      <c r="J67" s="212">
        <v>1121000</v>
      </c>
      <c r="K67" s="700">
        <f t="shared" si="7"/>
        <v>150214000</v>
      </c>
      <c r="L67" s="700">
        <f t="shared" si="8"/>
        <v>150214000</v>
      </c>
    </row>
    <row r="68" spans="1:12" ht="13.5" customHeight="1">
      <c r="A68" s="1125"/>
      <c r="B68" s="1126"/>
      <c r="C68" s="1134"/>
      <c r="D68" s="1137"/>
      <c r="E68" s="189" t="s">
        <v>353</v>
      </c>
      <c r="F68" s="187"/>
      <c r="G68" s="212"/>
      <c r="H68" s="212"/>
      <c r="I68" s="212">
        <v>16</v>
      </c>
      <c r="J68" s="212">
        <v>1346000</v>
      </c>
      <c r="K68" s="700">
        <f t="shared" si="7"/>
        <v>21536000</v>
      </c>
      <c r="L68" s="700">
        <f t="shared" si="8"/>
        <v>21536000</v>
      </c>
    </row>
    <row r="69" spans="1:12" ht="13.5" customHeight="1">
      <c r="A69" s="1125"/>
      <c r="B69" s="1126"/>
      <c r="C69" s="1134"/>
      <c r="D69" s="1137"/>
      <c r="E69" s="189" t="s">
        <v>364</v>
      </c>
      <c r="F69" s="187"/>
      <c r="G69" s="212"/>
      <c r="H69" s="212"/>
      <c r="I69" s="212">
        <v>1</v>
      </c>
      <c r="J69" s="212">
        <v>1346000</v>
      </c>
      <c r="K69" s="212">
        <f>I69*J69</f>
        <v>1346000</v>
      </c>
      <c r="L69" s="212">
        <f>H69+K69</f>
        <v>1346000</v>
      </c>
    </row>
    <row r="70" spans="1:12" ht="13.5" customHeight="1">
      <c r="A70" s="1125"/>
      <c r="B70" s="1126"/>
      <c r="C70" s="1134"/>
      <c r="D70" s="1137"/>
      <c r="E70" s="185" t="s">
        <v>354</v>
      </c>
      <c r="F70" s="187"/>
      <c r="G70" s="212">
        <v>0</v>
      </c>
      <c r="H70" s="212">
        <v>0</v>
      </c>
      <c r="I70" s="212">
        <v>156</v>
      </c>
      <c r="J70" s="212">
        <v>1682000</v>
      </c>
      <c r="K70" s="700">
        <f t="shared" si="7"/>
        <v>262392000</v>
      </c>
      <c r="L70" s="700">
        <f t="shared" si="8"/>
        <v>262392000</v>
      </c>
    </row>
    <row r="71" spans="1:12" ht="13.5" customHeight="1">
      <c r="A71" s="1125"/>
      <c r="B71" s="1126"/>
      <c r="C71" s="1134"/>
      <c r="D71" s="1137"/>
      <c r="E71" s="189" t="s">
        <v>355</v>
      </c>
      <c r="F71" s="187"/>
      <c r="G71" s="212"/>
      <c r="H71" s="212"/>
      <c r="I71" s="212">
        <v>12</v>
      </c>
      <c r="J71" s="212">
        <v>2020000</v>
      </c>
      <c r="K71" s="700">
        <f t="shared" si="7"/>
        <v>24240000</v>
      </c>
      <c r="L71" s="700">
        <f t="shared" si="8"/>
        <v>24240000</v>
      </c>
    </row>
    <row r="72" spans="1:12" ht="13.5" customHeight="1">
      <c r="A72" s="1127"/>
      <c r="B72" s="1128"/>
      <c r="C72" s="1135"/>
      <c r="D72" s="1138"/>
      <c r="E72" s="189" t="s">
        <v>1027</v>
      </c>
      <c r="F72" s="187"/>
      <c r="G72" s="212"/>
      <c r="H72" s="212"/>
      <c r="I72" s="212">
        <v>2</v>
      </c>
      <c r="J72" s="212">
        <v>2020000</v>
      </c>
      <c r="K72" s="700">
        <f t="shared" si="7"/>
        <v>4040000</v>
      </c>
      <c r="L72" s="700">
        <f t="shared" si="8"/>
        <v>4040000</v>
      </c>
    </row>
    <row r="73" spans="1:12" ht="13.5" customHeight="1">
      <c r="A73" s="1129" t="s">
        <v>1647</v>
      </c>
      <c r="B73" s="1130"/>
      <c r="C73" s="1134" t="s">
        <v>782</v>
      </c>
      <c r="D73" s="1137"/>
      <c r="E73" s="296" t="s">
        <v>356</v>
      </c>
      <c r="F73" s="186"/>
      <c r="G73" s="700">
        <v>0</v>
      </c>
      <c r="H73" s="700">
        <v>0</v>
      </c>
      <c r="I73" s="700"/>
      <c r="J73" s="700">
        <v>3363000</v>
      </c>
      <c r="K73" s="700">
        <f t="shared" si="7"/>
        <v>0</v>
      </c>
      <c r="L73" s="700">
        <f t="shared" si="8"/>
        <v>0</v>
      </c>
    </row>
    <row r="74" spans="1:12" ht="13.5" customHeight="1">
      <c r="A74" s="1129"/>
      <c r="B74" s="1130"/>
      <c r="C74" s="1134"/>
      <c r="D74" s="1137"/>
      <c r="E74" s="185" t="s">
        <v>357</v>
      </c>
      <c r="F74" s="190">
        <v>103</v>
      </c>
      <c r="G74" s="212">
        <v>1007000</v>
      </c>
      <c r="H74" s="212">
        <f>F74*G74</f>
        <v>103721000</v>
      </c>
      <c r="I74" s="212">
        <v>0</v>
      </c>
      <c r="J74" s="212">
        <v>0</v>
      </c>
      <c r="K74" s="212">
        <v>0</v>
      </c>
      <c r="L74" s="700">
        <f t="shared" si="8"/>
        <v>103721000</v>
      </c>
    </row>
    <row r="75" spans="1:12" ht="13.5" customHeight="1">
      <c r="A75" s="1129"/>
      <c r="B75" s="1130"/>
      <c r="C75" s="1134"/>
      <c r="D75" s="1138"/>
      <c r="E75" s="288" t="s">
        <v>358</v>
      </c>
      <c r="F75" s="289">
        <f>SUM(F51:F74)</f>
        <v>103</v>
      </c>
      <c r="G75" s="290">
        <v>0</v>
      </c>
      <c r="H75" s="290">
        <f>SUM(H51:H74)</f>
        <v>103721000</v>
      </c>
      <c r="I75" s="290">
        <f>SUM(I51:I74)</f>
        <v>13203</v>
      </c>
      <c r="J75" s="290">
        <v>0</v>
      </c>
      <c r="K75" s="290">
        <f>SUM(K51:K74)</f>
        <v>44332814000</v>
      </c>
      <c r="L75" s="290">
        <f>SUM(L51:L74)</f>
        <v>44436535000</v>
      </c>
    </row>
    <row r="76" spans="1:12" ht="13.5" customHeight="1">
      <c r="A76" s="1129"/>
      <c r="B76" s="1130"/>
      <c r="C76" s="1134"/>
      <c r="D76" s="1144" t="s">
        <v>359</v>
      </c>
      <c r="E76" s="185" t="s">
        <v>346</v>
      </c>
      <c r="F76" s="187"/>
      <c r="G76" s="212">
        <v>0</v>
      </c>
      <c r="H76" s="212">
        <v>0</v>
      </c>
      <c r="I76" s="212">
        <f>241+3</f>
        <v>244</v>
      </c>
      <c r="J76" s="212">
        <v>3858000</v>
      </c>
      <c r="K76" s="212">
        <f>I76*J76</f>
        <v>941352000</v>
      </c>
      <c r="L76" s="212">
        <f>H76+K76</f>
        <v>941352000</v>
      </c>
    </row>
    <row r="77" spans="1:12" ht="13.5" customHeight="1">
      <c r="A77" s="1129"/>
      <c r="B77" s="1130"/>
      <c r="C77" s="1134"/>
      <c r="D77" s="1144"/>
      <c r="E77" s="185" t="s">
        <v>0</v>
      </c>
      <c r="F77" s="187"/>
      <c r="G77" s="212">
        <v>0</v>
      </c>
      <c r="H77" s="212">
        <v>0</v>
      </c>
      <c r="I77" s="212">
        <f>292+6-33</f>
        <v>265</v>
      </c>
      <c r="J77" s="212">
        <v>3858000</v>
      </c>
      <c r="K77" s="212">
        <f aca="true" t="shared" si="9" ref="K77:K83">I77*J77</f>
        <v>1022370000</v>
      </c>
      <c r="L77" s="212">
        <f aca="true" t="shared" si="10" ref="L77:L84">H77+K77</f>
        <v>1022370000</v>
      </c>
    </row>
    <row r="78" spans="1:12" ht="13.5" customHeight="1">
      <c r="A78" s="1129"/>
      <c r="B78" s="1130"/>
      <c r="C78" s="1134"/>
      <c r="D78" s="1144"/>
      <c r="E78" s="185" t="s">
        <v>1</v>
      </c>
      <c r="F78" s="187"/>
      <c r="G78" s="212">
        <v>0</v>
      </c>
      <c r="H78" s="212">
        <v>0</v>
      </c>
      <c r="I78" s="212">
        <f>264+5</f>
        <v>269</v>
      </c>
      <c r="J78" s="212">
        <v>3858000</v>
      </c>
      <c r="K78" s="212">
        <f t="shared" si="9"/>
        <v>1037802000</v>
      </c>
      <c r="L78" s="212">
        <f t="shared" si="10"/>
        <v>1037802000</v>
      </c>
    </row>
    <row r="79" spans="1:12" ht="13.5" customHeight="1">
      <c r="A79" s="1129"/>
      <c r="B79" s="1130"/>
      <c r="C79" s="1134"/>
      <c r="D79" s="1144"/>
      <c r="E79" s="185" t="s">
        <v>2</v>
      </c>
      <c r="F79" s="187"/>
      <c r="G79" s="212">
        <v>0</v>
      </c>
      <c r="H79" s="212">
        <v>0</v>
      </c>
      <c r="I79" s="212">
        <v>249</v>
      </c>
      <c r="J79" s="212">
        <v>3858000</v>
      </c>
      <c r="K79" s="212">
        <f t="shared" si="9"/>
        <v>960642000</v>
      </c>
      <c r="L79" s="212">
        <f t="shared" si="10"/>
        <v>960642000</v>
      </c>
    </row>
    <row r="80" spans="1:12" ht="13.5" customHeight="1">
      <c r="A80" s="1129"/>
      <c r="B80" s="1130"/>
      <c r="C80" s="1134"/>
      <c r="D80" s="1144"/>
      <c r="E80" s="185" t="s">
        <v>350</v>
      </c>
      <c r="F80" s="187"/>
      <c r="G80" s="192">
        <v>0</v>
      </c>
      <c r="H80" s="212">
        <v>0</v>
      </c>
      <c r="I80" s="212">
        <v>14</v>
      </c>
      <c r="J80" s="212">
        <v>643000</v>
      </c>
      <c r="K80" s="212">
        <f t="shared" si="9"/>
        <v>9002000</v>
      </c>
      <c r="L80" s="212">
        <f t="shared" si="10"/>
        <v>9002000</v>
      </c>
    </row>
    <row r="81" spans="1:12" ht="13.5" customHeight="1">
      <c r="A81" s="1129"/>
      <c r="B81" s="1130"/>
      <c r="C81" s="1134"/>
      <c r="D81" s="1144"/>
      <c r="E81" s="185" t="s">
        <v>352</v>
      </c>
      <c r="F81" s="187"/>
      <c r="G81" s="192">
        <v>0</v>
      </c>
      <c r="H81" s="212">
        <v>0</v>
      </c>
      <c r="I81" s="212">
        <v>13</v>
      </c>
      <c r="J81" s="212">
        <v>1286000</v>
      </c>
      <c r="K81" s="212">
        <f>I81*J81-279000</f>
        <v>16439000</v>
      </c>
      <c r="L81" s="212">
        <f t="shared" si="10"/>
        <v>16439000</v>
      </c>
    </row>
    <row r="82" spans="1:12" ht="13.5" customHeight="1">
      <c r="A82" s="1129"/>
      <c r="B82" s="1130"/>
      <c r="C82" s="1134"/>
      <c r="D82" s="1144"/>
      <c r="E82" s="185" t="s">
        <v>354</v>
      </c>
      <c r="F82" s="187"/>
      <c r="G82" s="192">
        <v>0</v>
      </c>
      <c r="H82" s="212">
        <v>0</v>
      </c>
      <c r="I82" s="212">
        <v>1</v>
      </c>
      <c r="J82" s="212">
        <v>1929000</v>
      </c>
      <c r="K82" s="212">
        <f t="shared" si="9"/>
        <v>1929000</v>
      </c>
      <c r="L82" s="212">
        <f t="shared" si="10"/>
        <v>1929000</v>
      </c>
    </row>
    <row r="83" spans="1:12" ht="13.5" customHeight="1">
      <c r="A83" s="1129"/>
      <c r="B83" s="1130"/>
      <c r="C83" s="1134"/>
      <c r="D83" s="1144"/>
      <c r="E83" s="185" t="s">
        <v>356</v>
      </c>
      <c r="F83" s="187"/>
      <c r="G83" s="192">
        <v>0</v>
      </c>
      <c r="H83" s="212">
        <v>0</v>
      </c>
      <c r="I83" s="212"/>
      <c r="J83" s="212">
        <v>3858000</v>
      </c>
      <c r="K83" s="212">
        <f t="shared" si="9"/>
        <v>0</v>
      </c>
      <c r="L83" s="212">
        <f t="shared" si="10"/>
        <v>0</v>
      </c>
    </row>
    <row r="84" spans="1:12" ht="13.5" customHeight="1">
      <c r="A84" s="1129"/>
      <c r="B84" s="1130"/>
      <c r="C84" s="1134"/>
      <c r="D84" s="1144"/>
      <c r="E84" s="185" t="s">
        <v>357</v>
      </c>
      <c r="F84" s="190"/>
      <c r="G84" s="212">
        <v>1007000</v>
      </c>
      <c r="H84" s="212">
        <v>0</v>
      </c>
      <c r="I84" s="212"/>
      <c r="J84" s="212">
        <v>0</v>
      </c>
      <c r="K84" s="212">
        <v>0</v>
      </c>
      <c r="L84" s="212">
        <f t="shared" si="10"/>
        <v>0</v>
      </c>
    </row>
    <row r="85" spans="1:12" ht="13.5" customHeight="1">
      <c r="A85" s="1129"/>
      <c r="B85" s="1130"/>
      <c r="C85" s="1134"/>
      <c r="D85" s="1144"/>
      <c r="E85" s="288" t="s">
        <v>358</v>
      </c>
      <c r="F85" s="289">
        <v>0</v>
      </c>
      <c r="G85" s="290">
        <v>0</v>
      </c>
      <c r="H85" s="290">
        <v>0</v>
      </c>
      <c r="I85" s="290">
        <f>SUM(I76:I83)</f>
        <v>1055</v>
      </c>
      <c r="J85" s="290">
        <v>0</v>
      </c>
      <c r="K85" s="290">
        <f>SUM(K76:K84)</f>
        <v>3989536000</v>
      </c>
      <c r="L85" s="290">
        <f>SUM(L76:L84)</f>
        <v>3989536000</v>
      </c>
    </row>
    <row r="86" spans="1:12" ht="13.5" customHeight="1">
      <c r="A86" s="1129"/>
      <c r="B86" s="1130"/>
      <c r="C86" s="1134"/>
      <c r="D86" s="1145" t="s">
        <v>711</v>
      </c>
      <c r="E86" s="185" t="s">
        <v>346</v>
      </c>
      <c r="F86" s="187"/>
      <c r="G86" s="212">
        <v>0</v>
      </c>
      <c r="H86" s="212">
        <v>0</v>
      </c>
      <c r="I86" s="212">
        <f>232+10+20</f>
        <v>262</v>
      </c>
      <c r="J86" s="212">
        <v>4221000</v>
      </c>
      <c r="K86" s="212">
        <f>I86*J86</f>
        <v>1105902000</v>
      </c>
      <c r="L86" s="212">
        <f>H86+K86</f>
        <v>1105902000</v>
      </c>
    </row>
    <row r="87" spans="1:12" ht="13.5" customHeight="1">
      <c r="A87" s="1129"/>
      <c r="B87" s="1130"/>
      <c r="C87" s="1134"/>
      <c r="D87" s="1145"/>
      <c r="E87" s="185" t="s">
        <v>0</v>
      </c>
      <c r="F87" s="187"/>
      <c r="G87" s="212">
        <v>0</v>
      </c>
      <c r="H87" s="212">
        <v>0</v>
      </c>
      <c r="I87" s="212">
        <f>255+6+20</f>
        <v>281</v>
      </c>
      <c r="J87" s="212">
        <v>4221000</v>
      </c>
      <c r="K87" s="212">
        <f aca="true" t="shared" si="11" ref="K87:K94">I87*J87</f>
        <v>1186101000</v>
      </c>
      <c r="L87" s="212">
        <f aca="true" t="shared" si="12" ref="L87:L95">H87+K87</f>
        <v>1186101000</v>
      </c>
    </row>
    <row r="88" spans="1:12" ht="13.5" customHeight="1">
      <c r="A88" s="1129"/>
      <c r="B88" s="1130"/>
      <c r="C88" s="1134"/>
      <c r="D88" s="1145"/>
      <c r="E88" s="185" t="s">
        <v>1</v>
      </c>
      <c r="F88" s="187"/>
      <c r="G88" s="212">
        <v>0</v>
      </c>
      <c r="H88" s="212">
        <v>0</v>
      </c>
      <c r="I88" s="212">
        <f>269+5+20</f>
        <v>294</v>
      </c>
      <c r="J88" s="212">
        <v>4221000</v>
      </c>
      <c r="K88" s="212">
        <f t="shared" si="11"/>
        <v>1240974000</v>
      </c>
      <c r="L88" s="212">
        <f t="shared" si="12"/>
        <v>1240974000</v>
      </c>
    </row>
    <row r="89" spans="1:12" ht="13.5" customHeight="1">
      <c r="A89" s="1129"/>
      <c r="B89" s="1130"/>
      <c r="C89" s="1134"/>
      <c r="D89" s="1145"/>
      <c r="E89" s="185" t="s">
        <v>2</v>
      </c>
      <c r="F89" s="187"/>
      <c r="G89" s="212">
        <v>0</v>
      </c>
      <c r="H89" s="212">
        <v>0</v>
      </c>
      <c r="I89" s="212">
        <f>299+1+23</f>
        <v>323</v>
      </c>
      <c r="J89" s="212">
        <v>4221000</v>
      </c>
      <c r="K89" s="212">
        <f t="shared" si="11"/>
        <v>1363383000</v>
      </c>
      <c r="L89" s="212">
        <f t="shared" si="12"/>
        <v>1363383000</v>
      </c>
    </row>
    <row r="90" spans="1:12" ht="13.5" customHeight="1">
      <c r="A90" s="1129"/>
      <c r="B90" s="1130"/>
      <c r="C90" s="1134"/>
      <c r="D90" s="1145"/>
      <c r="E90" s="185" t="s">
        <v>360</v>
      </c>
      <c r="F90" s="187"/>
      <c r="G90" s="212">
        <v>0</v>
      </c>
      <c r="H90" s="212">
        <v>0</v>
      </c>
      <c r="I90" s="212"/>
      <c r="J90" s="212"/>
      <c r="K90" s="212">
        <f t="shared" si="11"/>
        <v>0</v>
      </c>
      <c r="L90" s="212">
        <f t="shared" si="12"/>
        <v>0</v>
      </c>
    </row>
    <row r="91" spans="1:12" ht="13.5" customHeight="1">
      <c r="A91" s="1129"/>
      <c r="B91" s="1130"/>
      <c r="C91" s="1134"/>
      <c r="D91" s="1145"/>
      <c r="E91" s="185" t="s">
        <v>350</v>
      </c>
      <c r="F91" s="187"/>
      <c r="G91" s="212">
        <v>0</v>
      </c>
      <c r="H91" s="212">
        <v>0</v>
      </c>
      <c r="I91" s="212">
        <v>15</v>
      </c>
      <c r="J91" s="212">
        <v>704000</v>
      </c>
      <c r="K91" s="212">
        <f>I91*J91+237000</f>
        <v>10797000</v>
      </c>
      <c r="L91" s="212">
        <f t="shared" si="12"/>
        <v>10797000</v>
      </c>
    </row>
    <row r="92" spans="1:12" ht="13.5" customHeight="1">
      <c r="A92" s="1129"/>
      <c r="B92" s="1130"/>
      <c r="C92" s="1134"/>
      <c r="D92" s="1145"/>
      <c r="E92" s="185" t="s">
        <v>352</v>
      </c>
      <c r="F92" s="187"/>
      <c r="G92" s="212">
        <v>0</v>
      </c>
      <c r="H92" s="212">
        <v>0</v>
      </c>
      <c r="I92" s="212">
        <v>6</v>
      </c>
      <c r="J92" s="212">
        <v>1407000</v>
      </c>
      <c r="K92" s="212">
        <f t="shared" si="11"/>
        <v>8442000</v>
      </c>
      <c r="L92" s="212">
        <f t="shared" si="12"/>
        <v>8442000</v>
      </c>
    </row>
    <row r="93" spans="1:12" ht="13.5" customHeight="1">
      <c r="A93" s="1129"/>
      <c r="B93" s="1130"/>
      <c r="C93" s="1134"/>
      <c r="D93" s="1145"/>
      <c r="E93" s="185" t="s">
        <v>354</v>
      </c>
      <c r="F93" s="187"/>
      <c r="G93" s="212">
        <v>0</v>
      </c>
      <c r="H93" s="212">
        <v>0</v>
      </c>
      <c r="I93" s="212">
        <v>5</v>
      </c>
      <c r="J93" s="212">
        <v>2111000</v>
      </c>
      <c r="K93" s="212">
        <f t="shared" si="11"/>
        <v>10555000</v>
      </c>
      <c r="L93" s="212">
        <f t="shared" si="12"/>
        <v>10555000</v>
      </c>
    </row>
    <row r="94" spans="1:12" ht="13.5" customHeight="1">
      <c r="A94" s="1129"/>
      <c r="B94" s="1130"/>
      <c r="C94" s="1134"/>
      <c r="D94" s="1145"/>
      <c r="E94" s="185" t="s">
        <v>356</v>
      </c>
      <c r="F94" s="187"/>
      <c r="G94" s="212">
        <v>0</v>
      </c>
      <c r="H94" s="212">
        <v>0</v>
      </c>
      <c r="I94" s="212"/>
      <c r="J94" s="212">
        <v>4221000</v>
      </c>
      <c r="K94" s="212">
        <f t="shared" si="11"/>
        <v>0</v>
      </c>
      <c r="L94" s="212">
        <f t="shared" si="12"/>
        <v>0</v>
      </c>
    </row>
    <row r="95" spans="1:12" ht="13.5" customHeight="1">
      <c r="A95" s="1129"/>
      <c r="B95" s="1130"/>
      <c r="C95" s="1134"/>
      <c r="D95" s="1145"/>
      <c r="E95" s="185" t="s">
        <v>357</v>
      </c>
      <c r="F95" s="190"/>
      <c r="G95" s="212">
        <v>1007000</v>
      </c>
      <c r="H95" s="212">
        <v>0</v>
      </c>
      <c r="I95" s="212">
        <v>0</v>
      </c>
      <c r="J95" s="212"/>
      <c r="K95" s="212">
        <v>0</v>
      </c>
      <c r="L95" s="212">
        <f t="shared" si="12"/>
        <v>0</v>
      </c>
    </row>
    <row r="96" spans="1:12" ht="13.5" customHeight="1">
      <c r="A96" s="1129"/>
      <c r="B96" s="1130"/>
      <c r="C96" s="1134"/>
      <c r="D96" s="1145"/>
      <c r="E96" s="291" t="s">
        <v>358</v>
      </c>
      <c r="F96" s="292">
        <v>0</v>
      </c>
      <c r="G96" s="293">
        <v>0</v>
      </c>
      <c r="H96" s="293">
        <v>0</v>
      </c>
      <c r="I96" s="293">
        <f>SUM(I86:I95)</f>
        <v>1186</v>
      </c>
      <c r="J96" s="293">
        <v>0</v>
      </c>
      <c r="K96" s="293">
        <f>SUM(K86:K95)</f>
        <v>4926154000</v>
      </c>
      <c r="L96" s="293">
        <f>SUM(L86:L95)</f>
        <v>4926154000</v>
      </c>
    </row>
    <row r="97" spans="1:12" ht="13.5" customHeight="1">
      <c r="A97" s="1129"/>
      <c r="B97" s="1130"/>
      <c r="C97" s="1135"/>
      <c r="D97" s="1141" t="s">
        <v>765</v>
      </c>
      <c r="E97" s="1142"/>
      <c r="F97" s="393"/>
      <c r="G97" s="699"/>
      <c r="H97" s="699"/>
      <c r="I97" s="699"/>
      <c r="J97" s="699"/>
      <c r="K97" s="699">
        <v>978798000</v>
      </c>
      <c r="L97" s="212">
        <f>K97</f>
        <v>978798000</v>
      </c>
    </row>
    <row r="98" spans="1:12" ht="13.5" customHeight="1">
      <c r="A98" s="1131"/>
      <c r="B98" s="1132"/>
      <c r="C98" s="1143" t="s">
        <v>712</v>
      </c>
      <c r="D98" s="1143"/>
      <c r="E98" s="1143"/>
      <c r="F98" s="294">
        <f>F96+F85+F75</f>
        <v>103</v>
      </c>
      <c r="G98" s="295"/>
      <c r="H98" s="295">
        <f>H75+H85+H96</f>
        <v>103721000</v>
      </c>
      <c r="I98" s="295">
        <f>I96+I85+I75</f>
        <v>15444</v>
      </c>
      <c r="J98" s="295"/>
      <c r="K98" s="295">
        <f>K96+K85+K75+K97</f>
        <v>54227302000</v>
      </c>
      <c r="L98" s="295">
        <f>L96+L85+L75+L97</f>
        <v>54331023000</v>
      </c>
    </row>
    <row r="99" spans="1:12" ht="13.5" customHeight="1">
      <c r="A99" s="1146" t="s">
        <v>366</v>
      </c>
      <c r="B99" s="1147"/>
      <c r="C99" s="1147"/>
      <c r="D99" s="1147"/>
      <c r="E99" s="1148"/>
      <c r="F99" s="297">
        <f>F50+F98</f>
        <v>4097</v>
      </c>
      <c r="G99" s="298">
        <v>0</v>
      </c>
      <c r="H99" s="298">
        <f>H98+H50</f>
        <v>4125679000</v>
      </c>
      <c r="I99" s="298">
        <f>I98+I50</f>
        <v>32215</v>
      </c>
      <c r="J99" s="298">
        <v>0</v>
      </c>
      <c r="K99" s="298">
        <f>K98+K50</f>
        <v>113141565000</v>
      </c>
      <c r="L99" s="298">
        <f>L98+L50</f>
        <v>117267244000</v>
      </c>
    </row>
    <row r="100" spans="1:12" ht="13.5" customHeight="1">
      <c r="A100" s="1139"/>
      <c r="B100" s="1100" t="s">
        <v>367</v>
      </c>
      <c r="C100" s="1119" t="s">
        <v>710</v>
      </c>
      <c r="D100" s="1114" t="s">
        <v>714</v>
      </c>
      <c r="E100" s="211" t="s">
        <v>715</v>
      </c>
      <c r="F100" s="187"/>
      <c r="G100" s="212">
        <v>0</v>
      </c>
      <c r="H100" s="212">
        <f aca="true" t="shared" si="13" ref="H100:H110">$F100*G100</f>
        <v>0</v>
      </c>
      <c r="I100" s="212">
        <v>216</v>
      </c>
      <c r="J100" s="212">
        <v>4313000</v>
      </c>
      <c r="K100" s="212">
        <f aca="true" t="shared" si="14" ref="K100:K108">I100*J100</f>
        <v>931608000</v>
      </c>
      <c r="L100" s="212">
        <f>K100+H100</f>
        <v>931608000</v>
      </c>
    </row>
    <row r="101" spans="1:12" ht="13.5" customHeight="1">
      <c r="A101" s="1140"/>
      <c r="B101" s="1101"/>
      <c r="C101" s="1120"/>
      <c r="D101" s="1114"/>
      <c r="E101" s="211" t="s">
        <v>368</v>
      </c>
      <c r="F101" s="187"/>
      <c r="G101" s="212">
        <v>0</v>
      </c>
      <c r="H101" s="212">
        <f t="shared" si="13"/>
        <v>0</v>
      </c>
      <c r="I101" s="212">
        <v>507</v>
      </c>
      <c r="J101" s="212">
        <v>4313000</v>
      </c>
      <c r="K101" s="212">
        <f t="shared" si="14"/>
        <v>2186691000</v>
      </c>
      <c r="L101" s="212">
        <f aca="true" t="shared" si="15" ref="L101:L104">K101+H101</f>
        <v>2186691000</v>
      </c>
    </row>
    <row r="102" spans="1:12" ht="13.5" customHeight="1">
      <c r="A102" s="1140"/>
      <c r="B102" s="1101"/>
      <c r="C102" s="1120"/>
      <c r="D102" s="1114"/>
      <c r="E102" s="211" t="s">
        <v>369</v>
      </c>
      <c r="F102" s="187"/>
      <c r="G102" s="212"/>
      <c r="H102" s="212"/>
      <c r="I102" s="212">
        <v>4</v>
      </c>
      <c r="J102" s="212">
        <v>2156500</v>
      </c>
      <c r="K102" s="212">
        <f t="shared" si="14"/>
        <v>8626000</v>
      </c>
      <c r="L102" s="212">
        <f t="shared" si="15"/>
        <v>8626000</v>
      </c>
    </row>
    <row r="103" spans="1:12" ht="13.5" customHeight="1">
      <c r="A103" s="1140"/>
      <c r="B103" s="1101"/>
      <c r="C103" s="1120"/>
      <c r="D103" s="1114"/>
      <c r="E103" s="211" t="s">
        <v>370</v>
      </c>
      <c r="F103" s="187"/>
      <c r="G103" s="212">
        <v>0</v>
      </c>
      <c r="H103" s="212">
        <v>0</v>
      </c>
      <c r="I103" s="212">
        <v>86</v>
      </c>
      <c r="J103" s="212"/>
      <c r="K103" s="212">
        <f>97904700+679700</f>
        <v>98584400</v>
      </c>
      <c r="L103" s="212">
        <f t="shared" si="15"/>
        <v>98584400</v>
      </c>
    </row>
    <row r="104" spans="1:12" ht="13.5" customHeight="1">
      <c r="A104" s="1140"/>
      <c r="B104" s="1101"/>
      <c r="C104" s="1120"/>
      <c r="D104" s="1114"/>
      <c r="E104" s="211" t="s">
        <v>117</v>
      </c>
      <c r="F104" s="187">
        <v>262</v>
      </c>
      <c r="G104" s="212">
        <v>1070000</v>
      </c>
      <c r="H104" s="212">
        <f>($F104*G104)+574000</f>
        <v>280914000</v>
      </c>
      <c r="I104" s="212">
        <v>0</v>
      </c>
      <c r="J104" s="212">
        <v>0</v>
      </c>
      <c r="K104" s="212">
        <f t="shared" si="14"/>
        <v>0</v>
      </c>
      <c r="L104" s="212">
        <f t="shared" si="15"/>
        <v>280914000</v>
      </c>
    </row>
    <row r="105" spans="1:12" ht="13.5" customHeight="1">
      <c r="A105" s="1140"/>
      <c r="B105" s="1101"/>
      <c r="C105" s="1120"/>
      <c r="D105" s="1114"/>
      <c r="E105" s="299" t="s">
        <v>716</v>
      </c>
      <c r="F105" s="300">
        <f>SUM(F104)</f>
        <v>262</v>
      </c>
      <c r="G105" s="290"/>
      <c r="H105" s="290">
        <f>SUM(H104)</f>
        <v>280914000</v>
      </c>
      <c r="I105" s="290">
        <f>SUM(I100:I104)</f>
        <v>813</v>
      </c>
      <c r="J105" s="290"/>
      <c r="K105" s="290">
        <f>SUM(K100:K103)</f>
        <v>3225509400</v>
      </c>
      <c r="L105" s="290">
        <f>SUM(L100:L104)</f>
        <v>3506423400</v>
      </c>
    </row>
    <row r="106" spans="1:12" ht="13.5" customHeight="1">
      <c r="A106" s="1140"/>
      <c r="B106" s="1101"/>
      <c r="C106" s="1120"/>
      <c r="D106" s="1114" t="s">
        <v>717</v>
      </c>
      <c r="E106" s="211" t="s">
        <v>715</v>
      </c>
      <c r="F106" s="187"/>
      <c r="G106" s="212">
        <v>0</v>
      </c>
      <c r="H106" s="212">
        <f t="shared" si="13"/>
        <v>0</v>
      </c>
      <c r="I106" s="212">
        <v>38</v>
      </c>
      <c r="J106" s="212">
        <v>4940000</v>
      </c>
      <c r="K106" s="212">
        <f t="shared" si="14"/>
        <v>187720000</v>
      </c>
      <c r="L106" s="212">
        <f>K106+H106</f>
        <v>187720000</v>
      </c>
    </row>
    <row r="107" spans="1:12" ht="13.5" customHeight="1">
      <c r="A107" s="1140"/>
      <c r="B107" s="1101"/>
      <c r="C107" s="1120"/>
      <c r="D107" s="1114"/>
      <c r="E107" s="211" t="s">
        <v>368</v>
      </c>
      <c r="F107" s="186"/>
      <c r="G107" s="700">
        <v>0</v>
      </c>
      <c r="H107" s="700">
        <f t="shared" si="13"/>
        <v>0</v>
      </c>
      <c r="I107" s="700">
        <v>43</v>
      </c>
      <c r="J107" s="700">
        <v>4940000</v>
      </c>
      <c r="K107" s="212">
        <f>I107*J107</f>
        <v>212420000</v>
      </c>
      <c r="L107" s="212">
        <f aca="true" t="shared" si="16" ref="L107:L110">K107+H107</f>
        <v>212420000</v>
      </c>
    </row>
    <row r="108" spans="1:12" ht="13.5" customHeight="1">
      <c r="A108" s="1098" t="s">
        <v>408</v>
      </c>
      <c r="B108" s="1101" t="s">
        <v>367</v>
      </c>
      <c r="C108" s="1120" t="s">
        <v>781</v>
      </c>
      <c r="D108" s="1114"/>
      <c r="E108" s="211" t="s">
        <v>369</v>
      </c>
      <c r="F108" s="186"/>
      <c r="G108" s="700"/>
      <c r="H108" s="700"/>
      <c r="I108" s="700"/>
      <c r="J108" s="700">
        <v>2470000</v>
      </c>
      <c r="K108" s="212">
        <f t="shared" si="14"/>
        <v>0</v>
      </c>
      <c r="L108" s="212">
        <f t="shared" si="16"/>
        <v>0</v>
      </c>
    </row>
    <row r="109" spans="1:12" ht="13.5" customHeight="1">
      <c r="A109" s="1098"/>
      <c r="B109" s="1101"/>
      <c r="C109" s="1120"/>
      <c r="D109" s="1114"/>
      <c r="E109" s="211" t="s">
        <v>370</v>
      </c>
      <c r="F109" s="186"/>
      <c r="G109" s="700">
        <v>0</v>
      </c>
      <c r="H109" s="700">
        <f t="shared" si="13"/>
        <v>0</v>
      </c>
      <c r="I109" s="700">
        <v>4</v>
      </c>
      <c r="J109" s="700"/>
      <c r="K109" s="212">
        <v>5434000</v>
      </c>
      <c r="L109" s="212">
        <f t="shared" si="16"/>
        <v>5434000</v>
      </c>
    </row>
    <row r="110" spans="1:12" ht="13.5" customHeight="1">
      <c r="A110" s="1098"/>
      <c r="B110" s="1101"/>
      <c r="C110" s="1120"/>
      <c r="D110" s="1114"/>
      <c r="E110" s="211" t="s">
        <v>117</v>
      </c>
      <c r="F110" s="187">
        <v>0</v>
      </c>
      <c r="G110" s="212">
        <v>1070000</v>
      </c>
      <c r="H110" s="212">
        <f t="shared" si="13"/>
        <v>0</v>
      </c>
      <c r="I110" s="212">
        <v>0</v>
      </c>
      <c r="J110" s="212">
        <v>0</v>
      </c>
      <c r="K110" s="212">
        <v>0</v>
      </c>
      <c r="L110" s="212">
        <f t="shared" si="16"/>
        <v>0</v>
      </c>
    </row>
    <row r="111" spans="1:12" ht="13.5" customHeight="1">
      <c r="A111" s="1098"/>
      <c r="B111" s="1101"/>
      <c r="C111" s="1120"/>
      <c r="D111" s="1114"/>
      <c r="E111" s="299" t="s">
        <v>716</v>
      </c>
      <c r="F111" s="300">
        <f>SUM(F110)</f>
        <v>0</v>
      </c>
      <c r="G111" s="290"/>
      <c r="H111" s="290">
        <f>SUM(H110)</f>
        <v>0</v>
      </c>
      <c r="I111" s="290">
        <f>SUM(I106:I110)</f>
        <v>85</v>
      </c>
      <c r="J111" s="290"/>
      <c r="K111" s="290">
        <f>SUM(K106:K109)</f>
        <v>405574000</v>
      </c>
      <c r="L111" s="290">
        <f>SUM(L106:L110)</f>
        <v>405574000</v>
      </c>
    </row>
    <row r="112" spans="1:12" ht="13.5" customHeight="1">
      <c r="A112" s="1098"/>
      <c r="B112" s="1101"/>
      <c r="C112" s="1120"/>
      <c r="D112" s="1107" t="s">
        <v>372</v>
      </c>
      <c r="E112" s="211" t="s">
        <v>715</v>
      </c>
      <c r="F112" s="187"/>
      <c r="G112" s="212">
        <v>0</v>
      </c>
      <c r="H112" s="212">
        <f>$F112*G112</f>
        <v>0</v>
      </c>
      <c r="I112" s="212">
        <v>15</v>
      </c>
      <c r="J112" s="212">
        <v>5756000</v>
      </c>
      <c r="K112" s="212">
        <f>I112*J112</f>
        <v>86340000</v>
      </c>
      <c r="L112" s="212">
        <f>K112+H112</f>
        <v>86340000</v>
      </c>
    </row>
    <row r="113" spans="1:12" ht="13.5" customHeight="1">
      <c r="A113" s="1098"/>
      <c r="B113" s="1101"/>
      <c r="C113" s="1120"/>
      <c r="D113" s="1107"/>
      <c r="E113" s="211" t="s">
        <v>368</v>
      </c>
      <c r="F113" s="187"/>
      <c r="G113" s="212">
        <v>0</v>
      </c>
      <c r="H113" s="212">
        <f>$F113*G113</f>
        <v>0</v>
      </c>
      <c r="I113" s="212">
        <v>21</v>
      </c>
      <c r="J113" s="212">
        <v>5756000</v>
      </c>
      <c r="K113" s="212">
        <f>I113*J113</f>
        <v>120876000</v>
      </c>
      <c r="L113" s="212">
        <f aca="true" t="shared" si="17" ref="L113:L116">K113+H113</f>
        <v>120876000</v>
      </c>
    </row>
    <row r="114" spans="1:12" ht="13.5" customHeight="1">
      <c r="A114" s="1098"/>
      <c r="B114" s="1101"/>
      <c r="C114" s="1120"/>
      <c r="D114" s="1107"/>
      <c r="E114" s="211" t="s">
        <v>1028</v>
      </c>
      <c r="F114" s="187"/>
      <c r="G114" s="212"/>
      <c r="H114" s="212"/>
      <c r="I114" s="212">
        <v>1</v>
      </c>
      <c r="J114" s="212">
        <v>2878000</v>
      </c>
      <c r="K114" s="212">
        <f>I114*J114</f>
        <v>2878000</v>
      </c>
      <c r="L114" s="212">
        <f t="shared" si="17"/>
        <v>2878000</v>
      </c>
    </row>
    <row r="115" spans="1:12" ht="13.5" customHeight="1">
      <c r="A115" s="1098"/>
      <c r="B115" s="1101"/>
      <c r="C115" s="1120"/>
      <c r="D115" s="1107"/>
      <c r="E115" s="211" t="s">
        <v>718</v>
      </c>
      <c r="F115" s="187"/>
      <c r="G115" s="212"/>
      <c r="H115" s="212"/>
      <c r="I115" s="212">
        <v>1</v>
      </c>
      <c r="J115" s="212"/>
      <c r="K115" s="212">
        <v>1726800</v>
      </c>
      <c r="L115" s="212">
        <f t="shared" si="17"/>
        <v>1726800</v>
      </c>
    </row>
    <row r="116" spans="1:12" ht="13.5" customHeight="1">
      <c r="A116" s="1098"/>
      <c r="B116" s="1101"/>
      <c r="C116" s="1120"/>
      <c r="D116" s="1107"/>
      <c r="E116" s="301" t="s">
        <v>117</v>
      </c>
      <c r="F116" s="187">
        <v>0</v>
      </c>
      <c r="G116" s="212">
        <v>1070000</v>
      </c>
      <c r="H116" s="212">
        <f>$F116*G116</f>
        <v>0</v>
      </c>
      <c r="I116" s="212">
        <v>0</v>
      </c>
      <c r="J116" s="212">
        <v>0</v>
      </c>
      <c r="K116" s="212">
        <f>I116*J116</f>
        <v>0</v>
      </c>
      <c r="L116" s="212">
        <f t="shared" si="17"/>
        <v>0</v>
      </c>
    </row>
    <row r="117" spans="1:12" ht="13.5" customHeight="1">
      <c r="A117" s="1098"/>
      <c r="B117" s="1101"/>
      <c r="C117" s="1121"/>
      <c r="D117" s="1107"/>
      <c r="E117" s="302" t="s">
        <v>716</v>
      </c>
      <c r="F117" s="300">
        <f>SUM(F116)</f>
        <v>0</v>
      </c>
      <c r="G117" s="290"/>
      <c r="H117" s="290">
        <f>SUM(H116)</f>
        <v>0</v>
      </c>
      <c r="I117" s="290">
        <f>SUM(I112:I116)</f>
        <v>38</v>
      </c>
      <c r="J117" s="290"/>
      <c r="K117" s="290">
        <f>SUM(K112:K115)</f>
        <v>211820800</v>
      </c>
      <c r="L117" s="290">
        <f>SUM(L112:L116)</f>
        <v>211820800</v>
      </c>
    </row>
    <row r="118" spans="1:12" ht="13.5" customHeight="1">
      <c r="A118" s="1098"/>
      <c r="B118" s="1101"/>
      <c r="C118" s="1122" t="s">
        <v>719</v>
      </c>
      <c r="D118" s="1122"/>
      <c r="E118" s="1122"/>
      <c r="F118" s="303">
        <f>F105+F111+F117</f>
        <v>262</v>
      </c>
      <c r="G118" s="295"/>
      <c r="H118" s="295">
        <f>H105+H111+H117</f>
        <v>280914000</v>
      </c>
      <c r="I118" s="295">
        <f>I105+I111+I117</f>
        <v>936</v>
      </c>
      <c r="J118" s="295"/>
      <c r="K118" s="295">
        <f>K105+K111+K117</f>
        <v>3842904200</v>
      </c>
      <c r="L118" s="295">
        <f>L105+L111+L117</f>
        <v>4123818200</v>
      </c>
    </row>
    <row r="119" spans="1:12" ht="13.5" customHeight="1">
      <c r="A119" s="1098"/>
      <c r="B119" s="1101"/>
      <c r="C119" s="1119" t="s">
        <v>713</v>
      </c>
      <c r="D119" s="1114" t="s">
        <v>714</v>
      </c>
      <c r="E119" s="211" t="s">
        <v>715</v>
      </c>
      <c r="F119" s="187"/>
      <c r="G119" s="212">
        <v>0</v>
      </c>
      <c r="H119" s="212"/>
      <c r="I119" s="212">
        <v>177</v>
      </c>
      <c r="J119" s="212">
        <v>4313000</v>
      </c>
      <c r="K119" s="212">
        <f>I119*J119</f>
        <v>763401000</v>
      </c>
      <c r="L119" s="212">
        <f>K119+H119</f>
        <v>763401000</v>
      </c>
    </row>
    <row r="120" spans="1:12" ht="13.5" customHeight="1">
      <c r="A120" s="1098"/>
      <c r="B120" s="1101"/>
      <c r="C120" s="1120"/>
      <c r="D120" s="1114"/>
      <c r="E120" s="211" t="s">
        <v>368</v>
      </c>
      <c r="F120" s="187"/>
      <c r="G120" s="212">
        <v>0</v>
      </c>
      <c r="H120" s="212">
        <f>$F120*G120</f>
        <v>0</v>
      </c>
      <c r="I120" s="212">
        <f>517+27</f>
        <v>544</v>
      </c>
      <c r="J120" s="212">
        <v>4313000</v>
      </c>
      <c r="K120" s="212">
        <f>I120*J120</f>
        <v>2346272000</v>
      </c>
      <c r="L120" s="212">
        <f aca="true" t="shared" si="18" ref="L120:L123">K120+H120</f>
        <v>2346272000</v>
      </c>
    </row>
    <row r="121" spans="1:12" ht="13.5" customHeight="1">
      <c r="A121" s="1098"/>
      <c r="B121" s="1101"/>
      <c r="C121" s="1120"/>
      <c r="D121" s="1114"/>
      <c r="E121" s="211" t="s">
        <v>369</v>
      </c>
      <c r="F121" s="187"/>
      <c r="G121" s="212"/>
      <c r="H121" s="212"/>
      <c r="I121" s="212">
        <v>6</v>
      </c>
      <c r="J121" s="212">
        <v>2156500</v>
      </c>
      <c r="K121" s="212">
        <f>I121*J121</f>
        <v>12939000</v>
      </c>
      <c r="L121" s="212">
        <f t="shared" si="18"/>
        <v>12939000</v>
      </c>
    </row>
    <row r="122" spans="1:12" ht="13.5" customHeight="1">
      <c r="A122" s="1098"/>
      <c r="B122" s="1101"/>
      <c r="C122" s="1120"/>
      <c r="D122" s="1114"/>
      <c r="E122" s="211" t="s">
        <v>370</v>
      </c>
      <c r="F122" s="187"/>
      <c r="G122" s="212">
        <v>0</v>
      </c>
      <c r="H122" s="212">
        <v>0</v>
      </c>
      <c r="I122" s="212">
        <v>103</v>
      </c>
      <c r="J122" s="212"/>
      <c r="K122" s="212">
        <v>113090600</v>
      </c>
      <c r="L122" s="212">
        <f t="shared" si="18"/>
        <v>113090600</v>
      </c>
    </row>
    <row r="123" spans="1:12" ht="13.5" customHeight="1">
      <c r="A123" s="1098"/>
      <c r="B123" s="1101"/>
      <c r="C123" s="1120"/>
      <c r="D123" s="1114"/>
      <c r="E123" s="211" t="s">
        <v>117</v>
      </c>
      <c r="F123" s="187">
        <v>192</v>
      </c>
      <c r="G123" s="212">
        <v>1070000</v>
      </c>
      <c r="H123" s="212">
        <f>$F123*G123</f>
        <v>205440000</v>
      </c>
      <c r="I123" s="212">
        <v>0</v>
      </c>
      <c r="J123" s="212">
        <v>0</v>
      </c>
      <c r="K123" s="212">
        <f>I123*J123</f>
        <v>0</v>
      </c>
      <c r="L123" s="212">
        <f t="shared" si="18"/>
        <v>205440000</v>
      </c>
    </row>
    <row r="124" spans="1:12" ht="13.5" customHeight="1">
      <c r="A124" s="1098"/>
      <c r="B124" s="1101"/>
      <c r="C124" s="1120"/>
      <c r="D124" s="1114"/>
      <c r="E124" s="299" t="s">
        <v>716</v>
      </c>
      <c r="F124" s="300">
        <f>SUM(F123)</f>
        <v>192</v>
      </c>
      <c r="G124" s="290"/>
      <c r="H124" s="290">
        <f>SUM(H123)</f>
        <v>205440000</v>
      </c>
      <c r="I124" s="290">
        <f>SUM(I119:I123)</f>
        <v>830</v>
      </c>
      <c r="J124" s="290"/>
      <c r="K124" s="290">
        <f>SUM(K119:K122)</f>
        <v>3235702600</v>
      </c>
      <c r="L124" s="290">
        <f>SUM(L119:L123)</f>
        <v>3441142600</v>
      </c>
    </row>
    <row r="125" spans="1:12" ht="13.5" customHeight="1">
      <c r="A125" s="1098"/>
      <c r="B125" s="1101"/>
      <c r="C125" s="1120"/>
      <c r="D125" s="1114" t="s">
        <v>717</v>
      </c>
      <c r="E125" s="211" t="s">
        <v>715</v>
      </c>
      <c r="F125" s="187"/>
      <c r="G125" s="212">
        <v>0</v>
      </c>
      <c r="H125" s="212">
        <f>$F125*G125</f>
        <v>0</v>
      </c>
      <c r="I125" s="212">
        <v>11</v>
      </c>
      <c r="J125" s="212">
        <v>4940000</v>
      </c>
      <c r="K125" s="212">
        <f>I125*J125</f>
        <v>54340000</v>
      </c>
      <c r="L125" s="212">
        <f>K125+H125</f>
        <v>54340000</v>
      </c>
    </row>
    <row r="126" spans="1:12" ht="13.5" customHeight="1">
      <c r="A126" s="1098"/>
      <c r="B126" s="1101"/>
      <c r="C126" s="1120"/>
      <c r="D126" s="1114"/>
      <c r="E126" s="211" t="s">
        <v>368</v>
      </c>
      <c r="F126" s="186"/>
      <c r="G126" s="700">
        <v>0</v>
      </c>
      <c r="H126" s="700">
        <f>$F126*G126</f>
        <v>0</v>
      </c>
      <c r="I126" s="700">
        <v>76</v>
      </c>
      <c r="J126" s="700">
        <v>4940000</v>
      </c>
      <c r="K126" s="212">
        <f>I126*J126</f>
        <v>375440000</v>
      </c>
      <c r="L126" s="212">
        <f aca="true" t="shared" si="19" ref="L126:L129">K126+H126</f>
        <v>375440000</v>
      </c>
    </row>
    <row r="127" spans="1:12" ht="13.5" customHeight="1">
      <c r="A127" s="1098"/>
      <c r="B127" s="1101"/>
      <c r="C127" s="1120"/>
      <c r="D127" s="1114"/>
      <c r="E127" s="211" t="s">
        <v>369</v>
      </c>
      <c r="F127" s="186"/>
      <c r="G127" s="700"/>
      <c r="H127" s="700"/>
      <c r="I127" s="700"/>
      <c r="J127" s="700">
        <v>2470000</v>
      </c>
      <c r="K127" s="212">
        <f>I127*J127</f>
        <v>0</v>
      </c>
      <c r="L127" s="212">
        <f t="shared" si="19"/>
        <v>0</v>
      </c>
    </row>
    <row r="128" spans="1:12" ht="13.5" customHeight="1">
      <c r="A128" s="1098"/>
      <c r="B128" s="1101"/>
      <c r="C128" s="1120"/>
      <c r="D128" s="1114"/>
      <c r="E128" s="211" t="s">
        <v>370</v>
      </c>
      <c r="F128" s="186"/>
      <c r="G128" s="700">
        <v>0</v>
      </c>
      <c r="H128" s="700">
        <f>$F128*G128</f>
        <v>0</v>
      </c>
      <c r="I128" s="700">
        <v>4</v>
      </c>
      <c r="J128" s="700"/>
      <c r="K128" s="212">
        <v>5434000</v>
      </c>
      <c r="L128" s="212">
        <f t="shared" si="19"/>
        <v>5434000</v>
      </c>
    </row>
    <row r="129" spans="1:12" ht="13.5" customHeight="1">
      <c r="A129" s="1098"/>
      <c r="B129" s="1101"/>
      <c r="C129" s="1120"/>
      <c r="D129" s="1114"/>
      <c r="E129" s="211" t="s">
        <v>117</v>
      </c>
      <c r="F129" s="187">
        <v>0</v>
      </c>
      <c r="G129" s="212">
        <v>1070000</v>
      </c>
      <c r="H129" s="212">
        <f>$F129*G129</f>
        <v>0</v>
      </c>
      <c r="I129" s="212">
        <v>0</v>
      </c>
      <c r="J129" s="212">
        <v>0</v>
      </c>
      <c r="K129" s="212">
        <v>0</v>
      </c>
      <c r="L129" s="212">
        <f t="shared" si="19"/>
        <v>0</v>
      </c>
    </row>
    <row r="130" spans="1:12" ht="13.5" customHeight="1">
      <c r="A130" s="1098"/>
      <c r="B130" s="1101"/>
      <c r="C130" s="1120"/>
      <c r="D130" s="1114"/>
      <c r="E130" s="299" t="s">
        <v>716</v>
      </c>
      <c r="F130" s="300">
        <f>SUM(F129)</f>
        <v>0</v>
      </c>
      <c r="G130" s="290"/>
      <c r="H130" s="290">
        <f>SUM(H129)</f>
        <v>0</v>
      </c>
      <c r="I130" s="290">
        <f>SUM(I125:I129)</f>
        <v>91</v>
      </c>
      <c r="J130" s="290"/>
      <c r="K130" s="290">
        <f>SUM(K125:K128)</f>
        <v>435214000</v>
      </c>
      <c r="L130" s="290">
        <f>SUM(L125:L129)</f>
        <v>435214000</v>
      </c>
    </row>
    <row r="131" spans="1:12" ht="13.5" customHeight="1">
      <c r="A131" s="1098"/>
      <c r="B131" s="1101"/>
      <c r="C131" s="1120"/>
      <c r="D131" s="1107" t="s">
        <v>372</v>
      </c>
      <c r="E131" s="211" t="s">
        <v>715</v>
      </c>
      <c r="F131" s="187"/>
      <c r="G131" s="212">
        <v>0</v>
      </c>
      <c r="H131" s="212">
        <f>$F131*G131</f>
        <v>0</v>
      </c>
      <c r="I131" s="212">
        <v>9</v>
      </c>
      <c r="J131" s="212">
        <v>5756000</v>
      </c>
      <c r="K131" s="212">
        <f>I131*J131</f>
        <v>51804000</v>
      </c>
      <c r="L131" s="212">
        <f>K131+H131</f>
        <v>51804000</v>
      </c>
    </row>
    <row r="132" spans="1:12" ht="13.5" customHeight="1">
      <c r="A132" s="1098"/>
      <c r="B132" s="1101"/>
      <c r="C132" s="1120"/>
      <c r="D132" s="1107"/>
      <c r="E132" s="211" t="s">
        <v>368</v>
      </c>
      <c r="F132" s="187"/>
      <c r="G132" s="212">
        <v>0</v>
      </c>
      <c r="H132" s="212">
        <f>$F132*G132</f>
        <v>0</v>
      </c>
      <c r="I132" s="212">
        <f>29+1</f>
        <v>30</v>
      </c>
      <c r="J132" s="212">
        <v>5756000</v>
      </c>
      <c r="K132" s="212">
        <f>I132*J132</f>
        <v>172680000</v>
      </c>
      <c r="L132" s="212">
        <f aca="true" t="shared" si="20" ref="L132:L135">K132+H132</f>
        <v>172680000</v>
      </c>
    </row>
    <row r="133" spans="1:12" ht="13.5" customHeight="1">
      <c r="A133" s="1098"/>
      <c r="B133" s="1101"/>
      <c r="C133" s="1120"/>
      <c r="D133" s="1107"/>
      <c r="E133" s="211" t="s">
        <v>718</v>
      </c>
      <c r="F133" s="187"/>
      <c r="G133" s="212"/>
      <c r="H133" s="212"/>
      <c r="I133" s="212">
        <v>2</v>
      </c>
      <c r="J133" s="212"/>
      <c r="K133" s="212">
        <v>2878000</v>
      </c>
      <c r="L133" s="212">
        <f t="shared" si="20"/>
        <v>2878000</v>
      </c>
    </row>
    <row r="134" spans="1:12" ht="13.5" customHeight="1">
      <c r="A134" s="1098"/>
      <c r="B134" s="1101"/>
      <c r="C134" s="1120"/>
      <c r="D134" s="1107"/>
      <c r="E134" s="301" t="s">
        <v>1028</v>
      </c>
      <c r="F134" s="187"/>
      <c r="G134" s="212"/>
      <c r="H134" s="212"/>
      <c r="I134" s="212">
        <v>1</v>
      </c>
      <c r="J134" s="212">
        <v>2878000</v>
      </c>
      <c r="K134" s="212">
        <f>I134*J134</f>
        <v>2878000</v>
      </c>
      <c r="L134" s="212">
        <f t="shared" si="20"/>
        <v>2878000</v>
      </c>
    </row>
    <row r="135" spans="1:12" ht="13.5" customHeight="1">
      <c r="A135" s="1098"/>
      <c r="B135" s="1101"/>
      <c r="C135" s="1120"/>
      <c r="D135" s="1107"/>
      <c r="E135" s="301" t="s">
        <v>117</v>
      </c>
      <c r="F135" s="187">
        <v>0</v>
      </c>
      <c r="G135" s="212">
        <v>1070000</v>
      </c>
      <c r="H135" s="212">
        <f>$F135*G135</f>
        <v>0</v>
      </c>
      <c r="I135" s="212">
        <v>0</v>
      </c>
      <c r="J135" s="212">
        <v>0</v>
      </c>
      <c r="K135" s="212">
        <f>I135*J135</f>
        <v>0</v>
      </c>
      <c r="L135" s="212">
        <f t="shared" si="20"/>
        <v>0</v>
      </c>
    </row>
    <row r="136" spans="1:12" ht="13.5" customHeight="1">
      <c r="A136" s="1098"/>
      <c r="B136" s="1101"/>
      <c r="C136" s="1121"/>
      <c r="D136" s="1107"/>
      <c r="E136" s="302" t="s">
        <v>716</v>
      </c>
      <c r="F136" s="300">
        <f>SUM(F135)</f>
        <v>0</v>
      </c>
      <c r="G136" s="290"/>
      <c r="H136" s="290">
        <f>SUM(H135)</f>
        <v>0</v>
      </c>
      <c r="I136" s="290">
        <f>SUM(I131:I135)</f>
        <v>42</v>
      </c>
      <c r="J136" s="290"/>
      <c r="K136" s="290">
        <f>SUM(K131:K134)</f>
        <v>230240000</v>
      </c>
      <c r="L136" s="290">
        <f>SUM(L131:L135)</f>
        <v>230240000</v>
      </c>
    </row>
    <row r="137" spans="1:12" ht="13.5" customHeight="1">
      <c r="A137" s="1098"/>
      <c r="B137" s="1101"/>
      <c r="C137" s="1122" t="s">
        <v>719</v>
      </c>
      <c r="D137" s="1122"/>
      <c r="E137" s="1122"/>
      <c r="F137" s="303">
        <f>F124+F130+F136</f>
        <v>192</v>
      </c>
      <c r="G137" s="295"/>
      <c r="H137" s="295">
        <f>H124+H130+H136</f>
        <v>205440000</v>
      </c>
      <c r="I137" s="295">
        <f>I124+I130+I136</f>
        <v>963</v>
      </c>
      <c r="J137" s="295"/>
      <c r="K137" s="295">
        <f>K124+K130+K136</f>
        <v>3901156600</v>
      </c>
      <c r="L137" s="295">
        <f>L124+L130+L136</f>
        <v>4106596600</v>
      </c>
    </row>
    <row r="138" spans="1:12" ht="13.5" customHeight="1">
      <c r="A138" s="1098"/>
      <c r="B138" s="1102"/>
      <c r="C138" s="1156" t="s">
        <v>286</v>
      </c>
      <c r="D138" s="1157"/>
      <c r="E138" s="1158"/>
      <c r="F138" s="304">
        <f>F137+F118</f>
        <v>454</v>
      </c>
      <c r="G138" s="304">
        <f aca="true" t="shared" si="21" ref="G138:L138">G137+G118</f>
        <v>0</v>
      </c>
      <c r="H138" s="304">
        <f t="shared" si="21"/>
        <v>486354000</v>
      </c>
      <c r="I138" s="304">
        <f t="shared" si="21"/>
        <v>1899</v>
      </c>
      <c r="J138" s="304">
        <f t="shared" si="21"/>
        <v>0</v>
      </c>
      <c r="K138" s="304">
        <f t="shared" si="21"/>
        <v>7744060800</v>
      </c>
      <c r="L138" s="304">
        <f t="shared" si="21"/>
        <v>8230414800</v>
      </c>
    </row>
    <row r="139" spans="1:12" ht="13.5" customHeight="1">
      <c r="A139" s="1098"/>
      <c r="B139" s="1100" t="s">
        <v>1648</v>
      </c>
      <c r="C139" s="1119" t="s">
        <v>710</v>
      </c>
      <c r="D139" s="1119" t="s">
        <v>714</v>
      </c>
      <c r="E139" s="211" t="s">
        <v>374</v>
      </c>
      <c r="F139" s="212"/>
      <c r="G139" s="212">
        <v>0</v>
      </c>
      <c r="H139" s="212">
        <f>$F139*G139</f>
        <v>0</v>
      </c>
      <c r="I139" s="212">
        <v>162</v>
      </c>
      <c r="J139" s="212">
        <v>5647000</v>
      </c>
      <c r="K139" s="212">
        <f>I139*J139</f>
        <v>914814000</v>
      </c>
      <c r="L139" s="212">
        <f>K139+H139</f>
        <v>914814000</v>
      </c>
    </row>
    <row r="140" spans="1:12" ht="13.5" customHeight="1">
      <c r="A140" s="1098"/>
      <c r="B140" s="1101"/>
      <c r="C140" s="1120"/>
      <c r="D140" s="1120"/>
      <c r="E140" s="211" t="s">
        <v>375</v>
      </c>
      <c r="F140" s="212"/>
      <c r="G140" s="212">
        <v>0</v>
      </c>
      <c r="H140" s="212">
        <v>0</v>
      </c>
      <c r="I140" s="212">
        <f>151+5</f>
        <v>156</v>
      </c>
      <c r="J140" s="212">
        <v>5647000</v>
      </c>
      <c r="K140" s="212">
        <f>I140*J140</f>
        <v>880932000</v>
      </c>
      <c r="L140" s="212">
        <f aca="true" t="shared" si="22" ref="L140:L143">K140+H140</f>
        <v>880932000</v>
      </c>
    </row>
    <row r="141" spans="1:12" ht="13.5" customHeight="1">
      <c r="A141" s="1098"/>
      <c r="B141" s="1101"/>
      <c r="C141" s="1120"/>
      <c r="D141" s="1120"/>
      <c r="E141" s="211" t="s">
        <v>377</v>
      </c>
      <c r="F141" s="212"/>
      <c r="G141" s="212">
        <v>0</v>
      </c>
      <c r="H141" s="212">
        <v>0</v>
      </c>
      <c r="I141" s="212">
        <v>0</v>
      </c>
      <c r="J141" s="212">
        <v>5425000</v>
      </c>
      <c r="K141" s="212">
        <f>I141*J141</f>
        <v>0</v>
      </c>
      <c r="L141" s="212">
        <f t="shared" si="22"/>
        <v>0</v>
      </c>
    </row>
    <row r="142" spans="1:12" ht="13.5" customHeight="1">
      <c r="A142" s="1099"/>
      <c r="B142" s="1102"/>
      <c r="C142" s="1121"/>
      <c r="D142" s="1121"/>
      <c r="E142" s="211" t="s">
        <v>376</v>
      </c>
      <c r="F142" s="212"/>
      <c r="G142" s="212">
        <v>0</v>
      </c>
      <c r="H142" s="212">
        <v>0</v>
      </c>
      <c r="I142" s="212">
        <v>11</v>
      </c>
      <c r="J142" s="212">
        <v>5425000</v>
      </c>
      <c r="K142" s="212">
        <f>I142*J142</f>
        <v>59675000</v>
      </c>
      <c r="L142" s="212">
        <f t="shared" si="22"/>
        <v>59675000</v>
      </c>
    </row>
    <row r="143" spans="1:12" ht="13.5" customHeight="1">
      <c r="A143" s="1098" t="s">
        <v>408</v>
      </c>
      <c r="B143" s="1101" t="s">
        <v>1648</v>
      </c>
      <c r="C143" s="1119"/>
      <c r="D143" s="1119"/>
      <c r="E143" s="306" t="s">
        <v>720</v>
      </c>
      <c r="F143" s="186">
        <v>162</v>
      </c>
      <c r="G143" s="700">
        <v>1135000</v>
      </c>
      <c r="H143" s="700">
        <f>$F143*G143</f>
        <v>183870000</v>
      </c>
      <c r="I143" s="700">
        <v>0</v>
      </c>
      <c r="J143" s="700">
        <v>0</v>
      </c>
      <c r="K143" s="700">
        <f>$F143*J143</f>
        <v>0</v>
      </c>
      <c r="L143" s="700">
        <f t="shared" si="22"/>
        <v>183870000</v>
      </c>
    </row>
    <row r="144" spans="1:12" ht="13.5" customHeight="1">
      <c r="A144" s="1098"/>
      <c r="B144" s="1101"/>
      <c r="C144" s="1121"/>
      <c r="D144" s="1121"/>
      <c r="E144" s="299" t="s">
        <v>716</v>
      </c>
      <c r="F144" s="289">
        <f>SUM(F139:F143)</f>
        <v>162</v>
      </c>
      <c r="G144" s="289"/>
      <c r="H144" s="289">
        <f>SUM(H139:H143)</f>
        <v>183870000</v>
      </c>
      <c r="I144" s="289">
        <f>SUM(I139:I143)</f>
        <v>329</v>
      </c>
      <c r="J144" s="289"/>
      <c r="K144" s="289">
        <f>SUM(K139:K143)</f>
        <v>1855421000</v>
      </c>
      <c r="L144" s="289">
        <f>SUM(L139:L143)</f>
        <v>2039291000</v>
      </c>
    </row>
    <row r="145" spans="1:12" ht="13.5" customHeight="1">
      <c r="A145" s="1098"/>
      <c r="B145" s="1101"/>
      <c r="C145" s="1119" t="s">
        <v>782</v>
      </c>
      <c r="D145" s="1119" t="s">
        <v>724</v>
      </c>
      <c r="E145" s="211" t="s">
        <v>374</v>
      </c>
      <c r="F145" s="212"/>
      <c r="G145" s="212">
        <v>0</v>
      </c>
      <c r="H145" s="212">
        <f>$F145*G145</f>
        <v>0</v>
      </c>
      <c r="I145" s="212">
        <v>0</v>
      </c>
      <c r="J145" s="212">
        <v>5647000</v>
      </c>
      <c r="K145" s="212">
        <f>I145*J145</f>
        <v>0</v>
      </c>
      <c r="L145" s="212">
        <f>K145+H145</f>
        <v>0</v>
      </c>
    </row>
    <row r="146" spans="1:12" ht="13.5" customHeight="1">
      <c r="A146" s="1098"/>
      <c r="B146" s="1101"/>
      <c r="C146" s="1120"/>
      <c r="D146" s="1120"/>
      <c r="E146" s="211" t="s">
        <v>375</v>
      </c>
      <c r="F146" s="212"/>
      <c r="G146" s="212">
        <v>0</v>
      </c>
      <c r="H146" s="212">
        <v>0</v>
      </c>
      <c r="I146" s="212">
        <f>312+4</f>
        <v>316</v>
      </c>
      <c r="J146" s="212">
        <v>5647000</v>
      </c>
      <c r="K146" s="212">
        <f>I146*J146</f>
        <v>1784452000</v>
      </c>
      <c r="L146" s="212">
        <f aca="true" t="shared" si="23" ref="L146:L149">K146+H146</f>
        <v>1784452000</v>
      </c>
    </row>
    <row r="147" spans="1:12" ht="13.5" customHeight="1">
      <c r="A147" s="1098"/>
      <c r="B147" s="1101"/>
      <c r="C147" s="1120"/>
      <c r="D147" s="1120"/>
      <c r="E147" s="211" t="s">
        <v>377</v>
      </c>
      <c r="F147" s="212"/>
      <c r="G147" s="212">
        <v>0</v>
      </c>
      <c r="H147" s="212">
        <v>0</v>
      </c>
      <c r="I147" s="212">
        <v>10</v>
      </c>
      <c r="J147" s="212">
        <v>5425000</v>
      </c>
      <c r="K147" s="212">
        <f>I147*J147</f>
        <v>54250000</v>
      </c>
      <c r="L147" s="212">
        <f t="shared" si="23"/>
        <v>54250000</v>
      </c>
    </row>
    <row r="148" spans="1:12" ht="13.5" customHeight="1">
      <c r="A148" s="1098"/>
      <c r="B148" s="1101"/>
      <c r="C148" s="1120"/>
      <c r="D148" s="1120"/>
      <c r="E148" s="211" t="s">
        <v>376</v>
      </c>
      <c r="F148" s="212"/>
      <c r="G148" s="212">
        <v>0</v>
      </c>
      <c r="H148" s="212">
        <v>0</v>
      </c>
      <c r="I148" s="212">
        <v>12</v>
      </c>
      <c r="J148" s="212">
        <v>5425000</v>
      </c>
      <c r="K148" s="212">
        <f>I148*J148</f>
        <v>65100000</v>
      </c>
      <c r="L148" s="212">
        <f t="shared" si="23"/>
        <v>65100000</v>
      </c>
    </row>
    <row r="149" spans="1:12" ht="13.5" customHeight="1">
      <c r="A149" s="1098"/>
      <c r="B149" s="1101"/>
      <c r="C149" s="1120"/>
      <c r="D149" s="1120"/>
      <c r="E149" s="211" t="s">
        <v>378</v>
      </c>
      <c r="F149" s="187">
        <v>10</v>
      </c>
      <c r="G149" s="212">
        <v>1103000</v>
      </c>
      <c r="H149" s="212">
        <f>$F149*G149</f>
        <v>11030000</v>
      </c>
      <c r="I149" s="212">
        <v>0</v>
      </c>
      <c r="J149" s="212">
        <v>0</v>
      </c>
      <c r="K149" s="212">
        <f>$F149*J149</f>
        <v>0</v>
      </c>
      <c r="L149" s="212">
        <f t="shared" si="23"/>
        <v>11030000</v>
      </c>
    </row>
    <row r="150" spans="1:12" ht="13.5" customHeight="1">
      <c r="A150" s="1098"/>
      <c r="B150" s="1101"/>
      <c r="C150" s="1121"/>
      <c r="D150" s="1121"/>
      <c r="E150" s="299" t="s">
        <v>716</v>
      </c>
      <c r="F150" s="289">
        <f>SUM(F145:F149)</f>
        <v>10</v>
      </c>
      <c r="G150" s="289"/>
      <c r="H150" s="289">
        <f>SUM(H145:H149)</f>
        <v>11030000</v>
      </c>
      <c r="I150" s="289">
        <f>SUM(I145:I149)</f>
        <v>338</v>
      </c>
      <c r="J150" s="289"/>
      <c r="K150" s="289">
        <f>SUM(K145:K149)</f>
        <v>1903802000</v>
      </c>
      <c r="L150" s="289">
        <f>SUM(L145:L149)</f>
        <v>1914832000</v>
      </c>
    </row>
    <row r="151" spans="1:12" ht="13.5" customHeight="1">
      <c r="A151" s="1098"/>
      <c r="B151" s="1102"/>
      <c r="C151" s="1092" t="s">
        <v>286</v>
      </c>
      <c r="D151" s="1093"/>
      <c r="E151" s="1094"/>
      <c r="F151" s="297">
        <f>F144+F150</f>
        <v>172</v>
      </c>
      <c r="G151" s="297"/>
      <c r="H151" s="297">
        <f>H144+H150</f>
        <v>194900000</v>
      </c>
      <c r="I151" s="297">
        <f>I144+I150</f>
        <v>667</v>
      </c>
      <c r="J151" s="297"/>
      <c r="K151" s="297">
        <f>K144+K150</f>
        <v>3759223000</v>
      </c>
      <c r="L151" s="297">
        <f>L144+L150</f>
        <v>3954123000</v>
      </c>
    </row>
    <row r="152" spans="1:12" ht="13.5" customHeight="1">
      <c r="A152" s="1098"/>
      <c r="B152" s="1095" t="s">
        <v>407</v>
      </c>
      <c r="C152" s="1096" t="s">
        <v>721</v>
      </c>
      <c r="D152" s="1119" t="s">
        <v>714</v>
      </c>
      <c r="E152" s="211" t="s">
        <v>715</v>
      </c>
      <c r="F152" s="187"/>
      <c r="G152" s="212"/>
      <c r="H152" s="212">
        <f>$F152*G152</f>
        <v>0</v>
      </c>
      <c r="I152" s="212">
        <v>86</v>
      </c>
      <c r="J152" s="212">
        <v>4918000</v>
      </c>
      <c r="K152" s="212">
        <f aca="true" t="shared" si="24" ref="K152:K161">I152*J152</f>
        <v>422948000</v>
      </c>
      <c r="L152" s="212">
        <f aca="true" t="shared" si="25" ref="L152:L161">K152+H152</f>
        <v>422948000</v>
      </c>
    </row>
    <row r="153" spans="1:12" ht="13.5" customHeight="1">
      <c r="A153" s="1098"/>
      <c r="B153" s="1095"/>
      <c r="C153" s="1097"/>
      <c r="D153" s="1120"/>
      <c r="E153" s="211" t="s">
        <v>379</v>
      </c>
      <c r="F153" s="187"/>
      <c r="G153" s="212">
        <v>0</v>
      </c>
      <c r="H153" s="212">
        <v>0</v>
      </c>
      <c r="I153" s="212">
        <v>219</v>
      </c>
      <c r="J153" s="212">
        <v>4918000</v>
      </c>
      <c r="K153" s="212">
        <f t="shared" si="24"/>
        <v>1077042000</v>
      </c>
      <c r="L153" s="212">
        <f t="shared" si="25"/>
        <v>1077042000</v>
      </c>
    </row>
    <row r="154" spans="1:12" ht="13.5" customHeight="1">
      <c r="A154" s="1098"/>
      <c r="B154" s="1095"/>
      <c r="C154" s="1097"/>
      <c r="D154" s="1120"/>
      <c r="E154" s="211" t="s">
        <v>369</v>
      </c>
      <c r="F154" s="187"/>
      <c r="G154" s="212"/>
      <c r="H154" s="212"/>
      <c r="I154" s="212"/>
      <c r="J154" s="212">
        <v>2459000</v>
      </c>
      <c r="K154" s="212">
        <f t="shared" si="24"/>
        <v>0</v>
      </c>
      <c r="L154" s="212">
        <f t="shared" si="25"/>
        <v>0</v>
      </c>
    </row>
    <row r="155" spans="1:12" ht="13.5" customHeight="1">
      <c r="A155" s="1098"/>
      <c r="B155" s="1095"/>
      <c r="C155" s="1097"/>
      <c r="D155" s="1120"/>
      <c r="E155" s="211" t="s">
        <v>722</v>
      </c>
      <c r="F155" s="187">
        <v>86</v>
      </c>
      <c r="G155" s="212">
        <v>1070000</v>
      </c>
      <c r="H155" s="212">
        <f>$F155*G155</f>
        <v>92020000</v>
      </c>
      <c r="I155" s="212"/>
      <c r="J155" s="212">
        <v>0</v>
      </c>
      <c r="K155" s="212">
        <f t="shared" si="24"/>
        <v>0</v>
      </c>
      <c r="L155" s="212">
        <f t="shared" si="25"/>
        <v>92020000</v>
      </c>
    </row>
    <row r="156" spans="1:12" ht="13.5" customHeight="1">
      <c r="A156" s="1098"/>
      <c r="B156" s="1095"/>
      <c r="C156" s="1097"/>
      <c r="D156" s="1120"/>
      <c r="E156" s="302" t="s">
        <v>716</v>
      </c>
      <c r="F156" s="300">
        <f>SUM(F155)</f>
        <v>86</v>
      </c>
      <c r="G156" s="290"/>
      <c r="H156" s="290">
        <f>SUM(H155)</f>
        <v>92020000</v>
      </c>
      <c r="I156" s="290">
        <f>SUM(I152:I154)</f>
        <v>305</v>
      </c>
      <c r="J156" s="290"/>
      <c r="K156" s="290">
        <f>SUM(K152:K154)</f>
        <v>1499990000</v>
      </c>
      <c r="L156" s="290">
        <f>SUM(L152:L155)</f>
        <v>1592010000</v>
      </c>
    </row>
    <row r="157" spans="1:12" ht="13.5" customHeight="1">
      <c r="A157" s="1098"/>
      <c r="B157" s="1095"/>
      <c r="C157" s="1096" t="s">
        <v>713</v>
      </c>
      <c r="D157" s="1119" t="s">
        <v>714</v>
      </c>
      <c r="E157" s="211" t="s">
        <v>715</v>
      </c>
      <c r="F157" s="187"/>
      <c r="G157" s="212">
        <v>0</v>
      </c>
      <c r="H157" s="212">
        <f>$F157*G157</f>
        <v>0</v>
      </c>
      <c r="I157" s="212">
        <v>67</v>
      </c>
      <c r="J157" s="212">
        <v>4918000</v>
      </c>
      <c r="K157" s="212">
        <f t="shared" si="24"/>
        <v>329506000</v>
      </c>
      <c r="L157" s="212">
        <f t="shared" si="25"/>
        <v>329506000</v>
      </c>
    </row>
    <row r="158" spans="1:12" ht="13.5" customHeight="1">
      <c r="A158" s="1098"/>
      <c r="B158" s="1095"/>
      <c r="C158" s="1097"/>
      <c r="D158" s="1120"/>
      <c r="E158" s="211" t="s">
        <v>368</v>
      </c>
      <c r="F158" s="187"/>
      <c r="G158" s="212">
        <v>0</v>
      </c>
      <c r="H158" s="212">
        <f>$F158*G158</f>
        <v>0</v>
      </c>
      <c r="I158" s="212">
        <f>178+10</f>
        <v>188</v>
      </c>
      <c r="J158" s="212">
        <v>4918000</v>
      </c>
      <c r="K158" s="212">
        <f t="shared" si="24"/>
        <v>924584000</v>
      </c>
      <c r="L158" s="212">
        <f t="shared" si="25"/>
        <v>924584000</v>
      </c>
    </row>
    <row r="159" spans="1:12" ht="13.5" customHeight="1">
      <c r="A159" s="1098"/>
      <c r="B159" s="1095"/>
      <c r="C159" s="1097"/>
      <c r="D159" s="1120"/>
      <c r="E159" s="211" t="s">
        <v>369</v>
      </c>
      <c r="F159" s="187"/>
      <c r="G159" s="212"/>
      <c r="H159" s="212"/>
      <c r="I159" s="212"/>
      <c r="J159" s="212">
        <v>2459000</v>
      </c>
      <c r="K159" s="212">
        <f t="shared" si="24"/>
        <v>0</v>
      </c>
      <c r="L159" s="212">
        <f t="shared" si="25"/>
        <v>0</v>
      </c>
    </row>
    <row r="160" spans="1:12" ht="13.5" customHeight="1">
      <c r="A160" s="1098"/>
      <c r="B160" s="1095"/>
      <c r="C160" s="1097"/>
      <c r="D160" s="1120"/>
      <c r="E160" s="211" t="s">
        <v>1029</v>
      </c>
      <c r="F160" s="187"/>
      <c r="G160" s="212"/>
      <c r="H160" s="212"/>
      <c r="I160" s="212">
        <v>6</v>
      </c>
      <c r="J160" s="212"/>
      <c r="K160" s="212">
        <f>6393400-1708900</f>
        <v>4684500</v>
      </c>
      <c r="L160" s="212">
        <f>K160+H160</f>
        <v>4684500</v>
      </c>
    </row>
    <row r="161" spans="1:12" ht="13.5" customHeight="1">
      <c r="A161" s="1098"/>
      <c r="B161" s="1095"/>
      <c r="C161" s="1097"/>
      <c r="D161" s="1120"/>
      <c r="E161" s="211" t="s">
        <v>117</v>
      </c>
      <c r="F161" s="187">
        <v>67</v>
      </c>
      <c r="G161" s="212">
        <v>1070000</v>
      </c>
      <c r="H161" s="212">
        <f>$F161*G161</f>
        <v>71690000</v>
      </c>
      <c r="I161" s="212">
        <v>0</v>
      </c>
      <c r="J161" s="212">
        <v>0</v>
      </c>
      <c r="K161" s="212">
        <f t="shared" si="24"/>
        <v>0</v>
      </c>
      <c r="L161" s="212">
        <f t="shared" si="25"/>
        <v>71690000</v>
      </c>
    </row>
    <row r="162" spans="1:12" ht="13.5" customHeight="1">
      <c r="A162" s="1098"/>
      <c r="B162" s="1095"/>
      <c r="C162" s="1097"/>
      <c r="D162" s="1120"/>
      <c r="E162" s="302" t="s">
        <v>716</v>
      </c>
      <c r="F162" s="289">
        <f>SUM(F157:F161)</f>
        <v>67</v>
      </c>
      <c r="G162" s="290">
        <v>0</v>
      </c>
      <c r="H162" s="290">
        <f>SUM(H157:H161)</f>
        <v>71690000</v>
      </c>
      <c r="I162" s="290">
        <f>SUM(I157:I161)</f>
        <v>261</v>
      </c>
      <c r="J162" s="290">
        <v>0</v>
      </c>
      <c r="K162" s="290">
        <f>SUM(K157:K160)</f>
        <v>1258774500</v>
      </c>
      <c r="L162" s="290">
        <f>SUM(L157:L161)</f>
        <v>1330464500</v>
      </c>
    </row>
    <row r="163" spans="1:12" ht="13.5" customHeight="1">
      <c r="A163" s="1098"/>
      <c r="B163" s="1095"/>
      <c r="C163" s="1088" t="s">
        <v>373</v>
      </c>
      <c r="D163" s="1089"/>
      <c r="E163" s="1090"/>
      <c r="F163" s="297">
        <f>F162+F156</f>
        <v>153</v>
      </c>
      <c r="G163" s="297"/>
      <c r="H163" s="297">
        <f>H162+H156</f>
        <v>163710000</v>
      </c>
      <c r="I163" s="297">
        <f>I162+I156</f>
        <v>566</v>
      </c>
      <c r="J163" s="297"/>
      <c r="K163" s="297">
        <f>K162+K156</f>
        <v>2758764500</v>
      </c>
      <c r="L163" s="297">
        <f>L162+L156</f>
        <v>2922474500</v>
      </c>
    </row>
    <row r="164" spans="1:12" ht="13.5" customHeight="1">
      <c r="A164" s="1098"/>
      <c r="B164" s="1106" t="s">
        <v>723</v>
      </c>
      <c r="C164" s="1114" t="s">
        <v>710</v>
      </c>
      <c r="D164" s="1114" t="s">
        <v>714</v>
      </c>
      <c r="E164" s="211" t="s">
        <v>715</v>
      </c>
      <c r="F164" s="187"/>
      <c r="G164" s="212">
        <v>0</v>
      </c>
      <c r="H164" s="212">
        <f>$F164*G164</f>
        <v>0</v>
      </c>
      <c r="I164" s="212">
        <v>11</v>
      </c>
      <c r="J164" s="212">
        <v>7751000</v>
      </c>
      <c r="K164" s="212">
        <f>I164*J164</f>
        <v>85261000</v>
      </c>
      <c r="L164" s="212">
        <f>K164+H164</f>
        <v>85261000</v>
      </c>
    </row>
    <row r="165" spans="1:12" ht="13.5" customHeight="1">
      <c r="A165" s="1098"/>
      <c r="B165" s="1095"/>
      <c r="C165" s="1114"/>
      <c r="D165" s="1114"/>
      <c r="E165" s="211" t="s">
        <v>368</v>
      </c>
      <c r="F165" s="187">
        <v>0</v>
      </c>
      <c r="G165" s="212">
        <v>0</v>
      </c>
      <c r="H165" s="212">
        <f>$F165*G165</f>
        <v>0</v>
      </c>
      <c r="I165" s="212">
        <v>47</v>
      </c>
      <c r="J165" s="212">
        <v>7751000</v>
      </c>
      <c r="K165" s="212">
        <f>I165*J165</f>
        <v>364297000</v>
      </c>
      <c r="L165" s="212">
        <f>K165+H165</f>
        <v>364297000</v>
      </c>
    </row>
    <row r="166" spans="1:12" ht="13.5" customHeight="1">
      <c r="A166" s="1098"/>
      <c r="B166" s="1095"/>
      <c r="C166" s="1114"/>
      <c r="D166" s="1114"/>
      <c r="E166" s="211" t="s">
        <v>369</v>
      </c>
      <c r="F166" s="187"/>
      <c r="G166" s="212"/>
      <c r="H166" s="212"/>
      <c r="I166" s="212"/>
      <c r="J166" s="212">
        <v>3776000</v>
      </c>
      <c r="K166" s="212">
        <f>I166*J166</f>
        <v>0</v>
      </c>
      <c r="L166" s="212">
        <f>K166+H166</f>
        <v>0</v>
      </c>
    </row>
    <row r="167" spans="1:12" ht="13.5" customHeight="1">
      <c r="A167" s="1098"/>
      <c r="B167" s="1095"/>
      <c r="C167" s="1114"/>
      <c r="D167" s="1114"/>
      <c r="E167" s="211" t="s">
        <v>722</v>
      </c>
      <c r="F167" s="187">
        <v>11</v>
      </c>
      <c r="G167" s="212">
        <v>1032000</v>
      </c>
      <c r="H167" s="212">
        <f>F167*G167</f>
        <v>11352000</v>
      </c>
      <c r="I167" s="212"/>
      <c r="J167" s="212">
        <v>0</v>
      </c>
      <c r="K167" s="212">
        <v>0</v>
      </c>
      <c r="L167" s="212">
        <f>H167</f>
        <v>11352000</v>
      </c>
    </row>
    <row r="168" spans="1:12" ht="13.5" customHeight="1">
      <c r="A168" s="1098"/>
      <c r="B168" s="1095"/>
      <c r="C168" s="1114"/>
      <c r="D168" s="1114"/>
      <c r="E168" s="299" t="s">
        <v>716</v>
      </c>
      <c r="F168" s="300">
        <f>SUM(F167)</f>
        <v>11</v>
      </c>
      <c r="G168" s="300"/>
      <c r="H168" s="300">
        <f>SUM(H167)</f>
        <v>11352000</v>
      </c>
      <c r="I168" s="300">
        <f>SUM(I164:I167)</f>
        <v>58</v>
      </c>
      <c r="J168" s="300"/>
      <c r="K168" s="300">
        <f>SUM(K164:K166)</f>
        <v>449558000</v>
      </c>
      <c r="L168" s="300">
        <f>SUM(L164:L167)</f>
        <v>460910000</v>
      </c>
    </row>
    <row r="169" spans="1:12" ht="13.5" customHeight="1">
      <c r="A169" s="1098"/>
      <c r="B169" s="1095"/>
      <c r="C169" s="1107" t="s">
        <v>713</v>
      </c>
      <c r="D169" s="1114" t="s">
        <v>714</v>
      </c>
      <c r="E169" s="211" t="s">
        <v>715</v>
      </c>
      <c r="F169" s="187"/>
      <c r="G169" s="212">
        <v>0</v>
      </c>
      <c r="H169" s="212">
        <f>$F169*G169</f>
        <v>0</v>
      </c>
      <c r="I169" s="212">
        <v>19</v>
      </c>
      <c r="J169" s="212">
        <v>7751000</v>
      </c>
      <c r="K169" s="212">
        <f>I169*J169</f>
        <v>147269000</v>
      </c>
      <c r="L169" s="212">
        <f>K169+H169</f>
        <v>147269000</v>
      </c>
    </row>
    <row r="170" spans="1:12" ht="13.5" customHeight="1">
      <c r="A170" s="1098"/>
      <c r="B170" s="1095"/>
      <c r="C170" s="1107"/>
      <c r="D170" s="1114"/>
      <c r="E170" s="211" t="s">
        <v>368</v>
      </c>
      <c r="F170" s="187">
        <v>0</v>
      </c>
      <c r="G170" s="212">
        <v>0</v>
      </c>
      <c r="H170" s="212">
        <f>$F170*G170</f>
        <v>0</v>
      </c>
      <c r="I170" s="212">
        <v>53</v>
      </c>
      <c r="J170" s="212">
        <v>7751000</v>
      </c>
      <c r="K170" s="212">
        <f>I170*J170</f>
        <v>410803000</v>
      </c>
      <c r="L170" s="212">
        <f>K170+H170</f>
        <v>410803000</v>
      </c>
    </row>
    <row r="171" spans="1:12" ht="13.5" customHeight="1">
      <c r="A171" s="1098"/>
      <c r="B171" s="1095"/>
      <c r="C171" s="1107"/>
      <c r="D171" s="1114"/>
      <c r="E171" s="211" t="s">
        <v>369</v>
      </c>
      <c r="F171" s="187"/>
      <c r="G171" s="212"/>
      <c r="H171" s="212"/>
      <c r="I171" s="212"/>
      <c r="J171" s="212">
        <v>3776000</v>
      </c>
      <c r="K171" s="212">
        <f>I171*J171</f>
        <v>0</v>
      </c>
      <c r="L171" s="212">
        <f>K171+H171</f>
        <v>0</v>
      </c>
    </row>
    <row r="172" spans="1:12" ht="13.5" customHeight="1">
      <c r="A172" s="1098"/>
      <c r="B172" s="1095"/>
      <c r="C172" s="1107"/>
      <c r="D172" s="1114"/>
      <c r="E172" s="211" t="s">
        <v>117</v>
      </c>
      <c r="F172" s="187">
        <v>19</v>
      </c>
      <c r="G172" s="212">
        <v>1032000</v>
      </c>
      <c r="H172" s="212">
        <f>F172*G172</f>
        <v>19608000</v>
      </c>
      <c r="I172" s="212"/>
      <c r="J172" s="212">
        <v>0</v>
      </c>
      <c r="K172" s="212">
        <f>$F172*J172</f>
        <v>0</v>
      </c>
      <c r="L172" s="212">
        <f>K172+H172</f>
        <v>19608000</v>
      </c>
    </row>
    <row r="173" spans="1:12" ht="13.5" customHeight="1">
      <c r="A173" s="1098"/>
      <c r="B173" s="1095"/>
      <c r="C173" s="1107"/>
      <c r="D173" s="1114"/>
      <c r="E173" s="299" t="s">
        <v>716</v>
      </c>
      <c r="F173" s="289">
        <f>SUM(F172)</f>
        <v>19</v>
      </c>
      <c r="G173" s="289"/>
      <c r="H173" s="289">
        <f>SUM(H172)</f>
        <v>19608000</v>
      </c>
      <c r="I173" s="289">
        <f>SUM(I169:I171)</f>
        <v>72</v>
      </c>
      <c r="J173" s="289"/>
      <c r="K173" s="289">
        <f>SUM(K169:K171)</f>
        <v>558072000</v>
      </c>
      <c r="L173" s="289">
        <f>SUM(L169:L172)</f>
        <v>577680000</v>
      </c>
    </row>
    <row r="174" spans="1:12" ht="13.5" customHeight="1">
      <c r="A174" s="1098"/>
      <c r="B174" s="1095"/>
      <c r="C174" s="1088" t="s">
        <v>373</v>
      </c>
      <c r="D174" s="1089"/>
      <c r="E174" s="1090"/>
      <c r="F174" s="297">
        <f>F173+F168</f>
        <v>30</v>
      </c>
      <c r="G174" s="297"/>
      <c r="H174" s="297">
        <f>H173+H168</f>
        <v>30960000</v>
      </c>
      <c r="I174" s="297">
        <f>I173+I168</f>
        <v>130</v>
      </c>
      <c r="J174" s="297"/>
      <c r="K174" s="297">
        <f>K173+K168</f>
        <v>1007630000</v>
      </c>
      <c r="L174" s="297">
        <f>L173+L168</f>
        <v>1038590000</v>
      </c>
    </row>
    <row r="175" spans="1:12" ht="13.5" customHeight="1">
      <c r="A175" s="1098"/>
      <c r="B175" s="1100" t="s">
        <v>380</v>
      </c>
      <c r="C175" s="1119" t="s">
        <v>710</v>
      </c>
      <c r="D175" s="1119" t="s">
        <v>714</v>
      </c>
      <c r="E175" s="211" t="s">
        <v>715</v>
      </c>
      <c r="F175" s="191"/>
      <c r="G175" s="212">
        <v>0</v>
      </c>
      <c r="H175" s="212">
        <f>G175*F175</f>
        <v>0</v>
      </c>
      <c r="I175" s="212">
        <v>9</v>
      </c>
      <c r="J175" s="212">
        <v>4692000</v>
      </c>
      <c r="K175" s="212">
        <f>I175*J175</f>
        <v>42228000</v>
      </c>
      <c r="L175" s="212">
        <f aca="true" t="shared" si="26" ref="L175:L182">H175+K175</f>
        <v>42228000</v>
      </c>
    </row>
    <row r="176" spans="1:12" ht="13.5" customHeight="1">
      <c r="A176" s="1098"/>
      <c r="B176" s="1101"/>
      <c r="C176" s="1120"/>
      <c r="D176" s="1120"/>
      <c r="E176" s="211" t="s">
        <v>379</v>
      </c>
      <c r="F176" s="191"/>
      <c r="G176" s="212">
        <v>0</v>
      </c>
      <c r="H176" s="212">
        <v>0</v>
      </c>
      <c r="I176" s="212">
        <v>26</v>
      </c>
      <c r="J176" s="212">
        <v>4692000</v>
      </c>
      <c r="K176" s="212">
        <f>I176*J176</f>
        <v>121992000</v>
      </c>
      <c r="L176" s="212">
        <f t="shared" si="26"/>
        <v>121992000</v>
      </c>
    </row>
    <row r="177" spans="1:12" ht="13.5" customHeight="1">
      <c r="A177" s="1099"/>
      <c r="B177" s="1102"/>
      <c r="C177" s="1121"/>
      <c r="D177" s="1121"/>
      <c r="E177" s="211" t="s">
        <v>369</v>
      </c>
      <c r="F177" s="191"/>
      <c r="G177" s="212"/>
      <c r="H177" s="212"/>
      <c r="I177" s="212"/>
      <c r="J177" s="212">
        <v>2346000</v>
      </c>
      <c r="K177" s="212">
        <f>I177*J177</f>
        <v>0</v>
      </c>
      <c r="L177" s="212">
        <f t="shared" si="26"/>
        <v>0</v>
      </c>
    </row>
    <row r="178" spans="1:12" ht="13.5" customHeight="1">
      <c r="A178" s="1098" t="s">
        <v>1650</v>
      </c>
      <c r="B178" s="1101"/>
      <c r="C178" s="1119"/>
      <c r="D178" s="1119"/>
      <c r="E178" s="306" t="s">
        <v>722</v>
      </c>
      <c r="F178" s="700">
        <v>9</v>
      </c>
      <c r="G178" s="700">
        <v>1015000</v>
      </c>
      <c r="H178" s="700">
        <f>G178*F178</f>
        <v>9135000</v>
      </c>
      <c r="I178" s="700"/>
      <c r="J178" s="700">
        <v>0</v>
      </c>
      <c r="K178" s="700">
        <f>I178*J178</f>
        <v>0</v>
      </c>
      <c r="L178" s="700">
        <f t="shared" si="26"/>
        <v>9135000</v>
      </c>
    </row>
    <row r="179" spans="1:12" ht="13.5" customHeight="1">
      <c r="A179" s="1098"/>
      <c r="B179" s="1101"/>
      <c r="C179" s="1121"/>
      <c r="D179" s="1121"/>
      <c r="E179" s="299" t="s">
        <v>716</v>
      </c>
      <c r="F179" s="290">
        <f>SUM(F178)</f>
        <v>9</v>
      </c>
      <c r="G179" s="290"/>
      <c r="H179" s="290">
        <f>SUM(H178)</f>
        <v>9135000</v>
      </c>
      <c r="I179" s="290">
        <f>SUM(I175:I177)</f>
        <v>35</v>
      </c>
      <c r="J179" s="290"/>
      <c r="K179" s="290">
        <f>SUM(K175:K177)</f>
        <v>164220000</v>
      </c>
      <c r="L179" s="290">
        <f>SUM(L175:L178)</f>
        <v>173355000</v>
      </c>
    </row>
    <row r="180" spans="1:12" ht="13.5" customHeight="1">
      <c r="A180" s="1098"/>
      <c r="B180" s="1101"/>
      <c r="C180" s="1119" t="s">
        <v>713</v>
      </c>
      <c r="D180" s="1114" t="s">
        <v>714</v>
      </c>
      <c r="E180" s="211" t="s">
        <v>715</v>
      </c>
      <c r="F180" s="191"/>
      <c r="G180" s="212">
        <v>0</v>
      </c>
      <c r="H180" s="212">
        <f>G180*F180</f>
        <v>0</v>
      </c>
      <c r="I180" s="212">
        <v>3</v>
      </c>
      <c r="J180" s="212">
        <v>4692000</v>
      </c>
      <c r="K180" s="212">
        <f>I180*J180</f>
        <v>14076000</v>
      </c>
      <c r="L180" s="212">
        <f t="shared" si="26"/>
        <v>14076000</v>
      </c>
    </row>
    <row r="181" spans="1:12" ht="13.5" customHeight="1">
      <c r="A181" s="1098"/>
      <c r="B181" s="1101"/>
      <c r="C181" s="1120"/>
      <c r="D181" s="1114"/>
      <c r="E181" s="211" t="s">
        <v>368</v>
      </c>
      <c r="F181" s="191"/>
      <c r="G181" s="212">
        <v>0</v>
      </c>
      <c r="H181" s="212">
        <f>G181*F181</f>
        <v>0</v>
      </c>
      <c r="I181" s="212">
        <v>28</v>
      </c>
      <c r="J181" s="212">
        <v>4692000</v>
      </c>
      <c r="K181" s="212">
        <f>I181*J181</f>
        <v>131376000</v>
      </c>
      <c r="L181" s="212">
        <f t="shared" si="26"/>
        <v>131376000</v>
      </c>
    </row>
    <row r="182" spans="1:12" ht="13.5" customHeight="1">
      <c r="A182" s="1098"/>
      <c r="B182" s="1101"/>
      <c r="C182" s="1120"/>
      <c r="D182" s="1114"/>
      <c r="E182" s="211" t="s">
        <v>117</v>
      </c>
      <c r="F182" s="191">
        <v>3</v>
      </c>
      <c r="G182" s="212">
        <v>1015000</v>
      </c>
      <c r="H182" s="212">
        <f>G182*F182</f>
        <v>3045000</v>
      </c>
      <c r="I182" s="212">
        <v>0</v>
      </c>
      <c r="J182" s="212">
        <v>0</v>
      </c>
      <c r="K182" s="212">
        <f>F182*J182</f>
        <v>0</v>
      </c>
      <c r="L182" s="212">
        <f t="shared" si="26"/>
        <v>3045000</v>
      </c>
    </row>
    <row r="183" spans="1:12" ht="13.5" customHeight="1">
      <c r="A183" s="1098"/>
      <c r="B183" s="1101"/>
      <c r="C183" s="1121"/>
      <c r="D183" s="1114"/>
      <c r="E183" s="305" t="s">
        <v>716</v>
      </c>
      <c r="F183" s="289">
        <f>SUM(F182)</f>
        <v>3</v>
      </c>
      <c r="G183" s="290">
        <v>0</v>
      </c>
      <c r="H183" s="290">
        <f>SUM(H182)</f>
        <v>3045000</v>
      </c>
      <c r="I183" s="290">
        <f>SUM(I180:I181)</f>
        <v>31</v>
      </c>
      <c r="J183" s="290">
        <v>0</v>
      </c>
      <c r="K183" s="290">
        <f>SUM(K180:K182)</f>
        <v>145452000</v>
      </c>
      <c r="L183" s="290">
        <f>SUM(L180:L182)</f>
        <v>148497000</v>
      </c>
    </row>
    <row r="184" spans="1:12" ht="13.5" customHeight="1">
      <c r="A184" s="1098"/>
      <c r="B184" s="1102"/>
      <c r="C184" s="1088" t="s">
        <v>373</v>
      </c>
      <c r="D184" s="1089"/>
      <c r="E184" s="1090"/>
      <c r="F184" s="297">
        <f>F183+F179</f>
        <v>12</v>
      </c>
      <c r="G184" s="298">
        <v>0</v>
      </c>
      <c r="H184" s="298">
        <f>H183+H179</f>
        <v>12180000</v>
      </c>
      <c r="I184" s="298">
        <f>I183+I179</f>
        <v>66</v>
      </c>
      <c r="J184" s="298">
        <v>0</v>
      </c>
      <c r="K184" s="298">
        <f>K183+K179</f>
        <v>309672000</v>
      </c>
      <c r="L184" s="298">
        <f>L183+L179</f>
        <v>321852000</v>
      </c>
    </row>
    <row r="185" spans="1:12" ht="13.5" customHeight="1">
      <c r="A185" s="1098"/>
      <c r="B185" s="1106" t="s">
        <v>725</v>
      </c>
      <c r="C185" s="1114" t="s">
        <v>721</v>
      </c>
      <c r="D185" s="1114" t="s">
        <v>714</v>
      </c>
      <c r="E185" s="211" t="s">
        <v>715</v>
      </c>
      <c r="F185" s="191"/>
      <c r="G185" s="212">
        <v>0</v>
      </c>
      <c r="H185" s="212">
        <v>0</v>
      </c>
      <c r="I185" s="212">
        <v>78</v>
      </c>
      <c r="J185" s="212">
        <v>4692000</v>
      </c>
      <c r="K185" s="212">
        <f>I185*J185</f>
        <v>365976000</v>
      </c>
      <c r="L185" s="212">
        <f aca="true" t="shared" si="27" ref="L185:L195">K185+H185</f>
        <v>365976000</v>
      </c>
    </row>
    <row r="186" spans="1:12" ht="13.5" customHeight="1">
      <c r="A186" s="1098"/>
      <c r="B186" s="1106"/>
      <c r="C186" s="1114"/>
      <c r="D186" s="1114"/>
      <c r="E186" s="211" t="s">
        <v>379</v>
      </c>
      <c r="F186" s="191"/>
      <c r="G186" s="212">
        <v>0</v>
      </c>
      <c r="H186" s="212">
        <v>0</v>
      </c>
      <c r="I186" s="212">
        <v>153</v>
      </c>
      <c r="J186" s="212">
        <v>4692000</v>
      </c>
      <c r="K186" s="212">
        <f>I186*J186</f>
        <v>717876000</v>
      </c>
      <c r="L186" s="212">
        <f t="shared" si="27"/>
        <v>717876000</v>
      </c>
    </row>
    <row r="187" spans="1:12" ht="13.5" customHeight="1">
      <c r="A187" s="1098"/>
      <c r="B187" s="1106"/>
      <c r="C187" s="1114"/>
      <c r="D187" s="1114"/>
      <c r="E187" s="211" t="s">
        <v>1028</v>
      </c>
      <c r="F187" s="191"/>
      <c r="G187" s="212"/>
      <c r="H187" s="212"/>
      <c r="I187" s="212">
        <v>1</v>
      </c>
      <c r="J187" s="212">
        <v>2346000</v>
      </c>
      <c r="K187" s="212">
        <f>I187*J187</f>
        <v>2346000</v>
      </c>
      <c r="L187" s="212">
        <f aca="true" t="shared" si="28" ref="L187">K187+H187</f>
        <v>2346000</v>
      </c>
    </row>
    <row r="188" spans="1:12" ht="13.5" customHeight="1">
      <c r="A188" s="1098"/>
      <c r="B188" s="1106"/>
      <c r="C188" s="1114"/>
      <c r="D188" s="1114"/>
      <c r="E188" s="211" t="s">
        <v>722</v>
      </c>
      <c r="F188" s="212">
        <v>78</v>
      </c>
      <c r="G188" s="212">
        <v>1015000</v>
      </c>
      <c r="H188" s="212">
        <f>F188*G188</f>
        <v>79170000</v>
      </c>
      <c r="I188" s="212"/>
      <c r="J188" s="212">
        <v>0</v>
      </c>
      <c r="K188" s="212">
        <f>F188*J188</f>
        <v>0</v>
      </c>
      <c r="L188" s="212">
        <f t="shared" si="27"/>
        <v>79170000</v>
      </c>
    </row>
    <row r="189" spans="1:12" ht="13.5" customHeight="1">
      <c r="A189" s="1098"/>
      <c r="B189" s="1106"/>
      <c r="C189" s="1114"/>
      <c r="D189" s="1114"/>
      <c r="E189" s="299" t="s">
        <v>716</v>
      </c>
      <c r="F189" s="290">
        <f>SUM(F188)</f>
        <v>78</v>
      </c>
      <c r="G189" s="290"/>
      <c r="H189" s="290">
        <f>SUM(H188)</f>
        <v>79170000</v>
      </c>
      <c r="I189" s="290">
        <f>SUM(I185:I186)</f>
        <v>231</v>
      </c>
      <c r="J189" s="290"/>
      <c r="K189" s="290">
        <f>SUM(K185:K187)</f>
        <v>1086198000</v>
      </c>
      <c r="L189" s="290">
        <f>SUM(L185:L188)</f>
        <v>1165368000</v>
      </c>
    </row>
    <row r="190" spans="1:12" ht="13.5" customHeight="1">
      <c r="A190" s="1098"/>
      <c r="B190" s="1106"/>
      <c r="C190" s="1119" t="s">
        <v>713</v>
      </c>
      <c r="D190" s="1114" t="s">
        <v>714</v>
      </c>
      <c r="E190" s="306" t="s">
        <v>715</v>
      </c>
      <c r="F190" s="307"/>
      <c r="G190" s="700">
        <v>0</v>
      </c>
      <c r="H190" s="700">
        <f>F190*G190</f>
        <v>0</v>
      </c>
      <c r="I190" s="700">
        <v>49</v>
      </c>
      <c r="J190" s="700">
        <v>4692000</v>
      </c>
      <c r="K190" s="212">
        <f>I190*J190</f>
        <v>229908000</v>
      </c>
      <c r="L190" s="212">
        <f t="shared" si="27"/>
        <v>229908000</v>
      </c>
    </row>
    <row r="191" spans="1:12" ht="13.5" customHeight="1">
      <c r="A191" s="1098"/>
      <c r="B191" s="1106"/>
      <c r="C191" s="1120"/>
      <c r="D191" s="1114"/>
      <c r="E191" s="211" t="s">
        <v>368</v>
      </c>
      <c r="F191" s="191"/>
      <c r="G191" s="212">
        <v>0</v>
      </c>
      <c r="H191" s="212">
        <f>F191*G191</f>
        <v>0</v>
      </c>
      <c r="I191" s="212">
        <v>177</v>
      </c>
      <c r="J191" s="212">
        <v>4692000</v>
      </c>
      <c r="K191" s="212">
        <f>I191*J191</f>
        <v>830484000</v>
      </c>
      <c r="L191" s="212">
        <f t="shared" si="27"/>
        <v>830484000</v>
      </c>
    </row>
    <row r="192" spans="1:12" ht="13.5" customHeight="1">
      <c r="A192" s="1098"/>
      <c r="B192" s="1106"/>
      <c r="C192" s="1120"/>
      <c r="D192" s="1114"/>
      <c r="E192" s="306" t="s">
        <v>715</v>
      </c>
      <c r="F192" s="191"/>
      <c r="G192" s="212"/>
      <c r="H192" s="212"/>
      <c r="I192" s="212">
        <v>12</v>
      </c>
      <c r="J192" s="212">
        <v>5500000</v>
      </c>
      <c r="K192" s="212">
        <f>I192*J192</f>
        <v>66000000</v>
      </c>
      <c r="L192" s="212">
        <f t="shared" si="27"/>
        <v>66000000</v>
      </c>
    </row>
    <row r="193" spans="1:12" ht="13.5" customHeight="1">
      <c r="A193" s="1098"/>
      <c r="B193" s="1106"/>
      <c r="C193" s="1120"/>
      <c r="D193" s="1114"/>
      <c r="E193" s="211" t="s">
        <v>369</v>
      </c>
      <c r="F193" s="191"/>
      <c r="G193" s="212"/>
      <c r="H193" s="212"/>
      <c r="I193" s="212">
        <v>2</v>
      </c>
      <c r="J193" s="212">
        <v>2346000</v>
      </c>
      <c r="K193" s="212">
        <f>I193*J193</f>
        <v>4692000</v>
      </c>
      <c r="L193" s="212">
        <f t="shared" si="27"/>
        <v>4692000</v>
      </c>
    </row>
    <row r="194" spans="1:12" ht="13.5" customHeight="1">
      <c r="A194" s="1098"/>
      <c r="B194" s="1106"/>
      <c r="C194" s="1120"/>
      <c r="D194" s="1114"/>
      <c r="E194" s="211" t="s">
        <v>1030</v>
      </c>
      <c r="F194" s="191"/>
      <c r="G194" s="212"/>
      <c r="H194" s="212"/>
      <c r="I194" s="212">
        <v>2</v>
      </c>
      <c r="J194" s="212"/>
      <c r="K194" s="212">
        <f>9384000-2121000</f>
        <v>7263000</v>
      </c>
      <c r="L194" s="212">
        <f t="shared" si="27"/>
        <v>7263000</v>
      </c>
    </row>
    <row r="195" spans="1:12" ht="13.5" customHeight="1">
      <c r="A195" s="1098"/>
      <c r="B195" s="1106"/>
      <c r="C195" s="1120"/>
      <c r="D195" s="1114"/>
      <c r="E195" s="211" t="s">
        <v>117</v>
      </c>
      <c r="F195" s="191">
        <v>61</v>
      </c>
      <c r="G195" s="212">
        <v>1015000</v>
      </c>
      <c r="H195" s="212">
        <f>F195*G195</f>
        <v>61915000</v>
      </c>
      <c r="I195" s="212">
        <v>0</v>
      </c>
      <c r="J195" s="212">
        <v>0</v>
      </c>
      <c r="K195" s="212">
        <f>F195*J195</f>
        <v>0</v>
      </c>
      <c r="L195" s="212">
        <f t="shared" si="27"/>
        <v>61915000</v>
      </c>
    </row>
    <row r="196" spans="1:12" ht="13.5" customHeight="1">
      <c r="A196" s="1098"/>
      <c r="B196" s="1106"/>
      <c r="C196" s="1121"/>
      <c r="D196" s="1114"/>
      <c r="E196" s="299" t="s">
        <v>716</v>
      </c>
      <c r="F196" s="289">
        <f>SUM(F195)</f>
        <v>61</v>
      </c>
      <c r="G196" s="289"/>
      <c r="H196" s="289">
        <f>SUM(H195)</f>
        <v>61915000</v>
      </c>
      <c r="I196" s="290">
        <f>SUM(I190:I195)</f>
        <v>242</v>
      </c>
      <c r="J196" s="290"/>
      <c r="K196" s="290">
        <f>SUM(K190:K195)</f>
        <v>1138347000</v>
      </c>
      <c r="L196" s="290">
        <f>SUM(L190:L195)</f>
        <v>1200262000</v>
      </c>
    </row>
    <row r="197" spans="1:12" ht="13.5" customHeight="1">
      <c r="A197" s="1098"/>
      <c r="B197" s="1106"/>
      <c r="C197" s="1088" t="s">
        <v>373</v>
      </c>
      <c r="D197" s="1089"/>
      <c r="E197" s="1090"/>
      <c r="F197" s="297">
        <f>F196+F189</f>
        <v>139</v>
      </c>
      <c r="G197" s="297"/>
      <c r="H197" s="297">
        <f>H196+H189</f>
        <v>141085000</v>
      </c>
      <c r="I197" s="297">
        <f>I196+I189</f>
        <v>473</v>
      </c>
      <c r="J197" s="297"/>
      <c r="K197" s="297">
        <f>K196+K189</f>
        <v>2224545000</v>
      </c>
      <c r="L197" s="297">
        <f>L196+L189</f>
        <v>2365630000</v>
      </c>
    </row>
    <row r="198" spans="1:12" ht="13.5" customHeight="1">
      <c r="A198" s="1098"/>
      <c r="B198" s="1103" t="s">
        <v>381</v>
      </c>
      <c r="C198" s="1107" t="s">
        <v>710</v>
      </c>
      <c r="D198" s="1114" t="s">
        <v>714</v>
      </c>
      <c r="E198" s="211" t="s">
        <v>715</v>
      </c>
      <c r="F198" s="187"/>
      <c r="G198" s="212">
        <v>0</v>
      </c>
      <c r="H198" s="212">
        <f>$F198*G198</f>
        <v>0</v>
      </c>
      <c r="I198" s="212">
        <v>89</v>
      </c>
      <c r="J198" s="212">
        <v>4066000</v>
      </c>
      <c r="K198" s="212">
        <f>I198*J198</f>
        <v>361874000</v>
      </c>
      <c r="L198" s="212">
        <f>K198+H198</f>
        <v>361874000</v>
      </c>
    </row>
    <row r="199" spans="1:12" ht="13.5" customHeight="1">
      <c r="A199" s="1098"/>
      <c r="B199" s="1104"/>
      <c r="C199" s="1107"/>
      <c r="D199" s="1114"/>
      <c r="E199" s="211" t="s">
        <v>368</v>
      </c>
      <c r="F199" s="187"/>
      <c r="G199" s="212">
        <v>0</v>
      </c>
      <c r="H199" s="212">
        <f>$F199*G199</f>
        <v>0</v>
      </c>
      <c r="I199" s="212">
        <v>330</v>
      </c>
      <c r="J199" s="212">
        <v>4066000</v>
      </c>
      <c r="K199" s="212">
        <f>I199*J199</f>
        <v>1341780000</v>
      </c>
      <c r="L199" s="212">
        <f>K199+H199</f>
        <v>1341780000</v>
      </c>
    </row>
    <row r="200" spans="1:12" ht="13.5" customHeight="1">
      <c r="A200" s="1098"/>
      <c r="B200" s="1104"/>
      <c r="C200" s="1107"/>
      <c r="D200" s="1114"/>
      <c r="E200" s="211" t="s">
        <v>369</v>
      </c>
      <c r="F200" s="187"/>
      <c r="G200" s="212"/>
      <c r="H200" s="212"/>
      <c r="I200" s="212">
        <v>2</v>
      </c>
      <c r="J200" s="212">
        <v>2033000</v>
      </c>
      <c r="K200" s="212">
        <f>I200*J200</f>
        <v>4066000</v>
      </c>
      <c r="L200" s="212">
        <f>K200+H200</f>
        <v>4066000</v>
      </c>
    </row>
    <row r="201" spans="1:12" ht="13.5" customHeight="1">
      <c r="A201" s="1098"/>
      <c r="B201" s="1104"/>
      <c r="C201" s="1107"/>
      <c r="D201" s="1114"/>
      <c r="E201" s="211" t="s">
        <v>117</v>
      </c>
      <c r="F201" s="187">
        <v>89</v>
      </c>
      <c r="G201" s="212">
        <v>1070000</v>
      </c>
      <c r="H201" s="212">
        <f>F201*G201</f>
        <v>95230000</v>
      </c>
      <c r="I201" s="212"/>
      <c r="J201" s="212"/>
      <c r="K201" s="212">
        <f>I201*J201</f>
        <v>0</v>
      </c>
      <c r="L201" s="212">
        <f>H201</f>
        <v>95230000</v>
      </c>
    </row>
    <row r="202" spans="1:12" ht="13.5" customHeight="1">
      <c r="A202" s="1098"/>
      <c r="B202" s="1104"/>
      <c r="C202" s="1107"/>
      <c r="D202" s="1114"/>
      <c r="E202" s="299" t="s">
        <v>716</v>
      </c>
      <c r="F202" s="300">
        <f>F201</f>
        <v>89</v>
      </c>
      <c r="G202" s="300"/>
      <c r="H202" s="300">
        <f>H201</f>
        <v>95230000</v>
      </c>
      <c r="I202" s="290">
        <f>SUM(I198:I200)</f>
        <v>421</v>
      </c>
      <c r="J202" s="290"/>
      <c r="K202" s="290">
        <f>SUM(K198:K200)</f>
        <v>1707720000</v>
      </c>
      <c r="L202" s="290">
        <f>SUM(L198:L201)</f>
        <v>1802950000</v>
      </c>
    </row>
    <row r="203" spans="1:12" ht="13.5" customHeight="1">
      <c r="A203" s="1098"/>
      <c r="B203" s="1104"/>
      <c r="C203" s="1107"/>
      <c r="D203" s="1107" t="s">
        <v>371</v>
      </c>
      <c r="E203" s="211" t="s">
        <v>715</v>
      </c>
      <c r="F203" s="212"/>
      <c r="G203" s="212">
        <v>0</v>
      </c>
      <c r="H203" s="212">
        <f>$F203*G203</f>
        <v>0</v>
      </c>
      <c r="I203" s="212">
        <v>3</v>
      </c>
      <c r="J203" s="212">
        <v>4448000</v>
      </c>
      <c r="K203" s="212">
        <f>I203*J203</f>
        <v>13344000</v>
      </c>
      <c r="L203" s="212">
        <f>K203+H203</f>
        <v>13344000</v>
      </c>
    </row>
    <row r="204" spans="1:12" ht="13.5" customHeight="1">
      <c r="A204" s="1098"/>
      <c r="B204" s="1104"/>
      <c r="C204" s="1107"/>
      <c r="D204" s="1107"/>
      <c r="E204" s="211" t="s">
        <v>368</v>
      </c>
      <c r="F204" s="187"/>
      <c r="G204" s="212">
        <v>0</v>
      </c>
      <c r="H204" s="212">
        <f>$F204*G204</f>
        <v>0</v>
      </c>
      <c r="I204" s="212">
        <v>17</v>
      </c>
      <c r="J204" s="212">
        <v>4448000</v>
      </c>
      <c r="K204" s="212">
        <f>I204*J204</f>
        <v>75616000</v>
      </c>
      <c r="L204" s="212">
        <f>K204+H204</f>
        <v>75616000</v>
      </c>
    </row>
    <row r="205" spans="1:12" ht="13.5" customHeight="1">
      <c r="A205" s="1098"/>
      <c r="B205" s="1104"/>
      <c r="C205" s="1107"/>
      <c r="D205" s="1107"/>
      <c r="E205" s="211" t="s">
        <v>369</v>
      </c>
      <c r="F205" s="187"/>
      <c r="G205" s="212"/>
      <c r="H205" s="212"/>
      <c r="I205" s="212">
        <v>1</v>
      </c>
      <c r="J205" s="212">
        <v>2224000</v>
      </c>
      <c r="K205" s="212">
        <f>I205*J205</f>
        <v>2224000</v>
      </c>
      <c r="L205" s="212">
        <f>K205+H205</f>
        <v>2224000</v>
      </c>
    </row>
    <row r="206" spans="1:12" ht="13.5" customHeight="1">
      <c r="A206" s="1098"/>
      <c r="B206" s="1104"/>
      <c r="C206" s="1107"/>
      <c r="D206" s="1107"/>
      <c r="E206" s="211" t="s">
        <v>722</v>
      </c>
      <c r="F206" s="187"/>
      <c r="G206" s="212">
        <v>1070000</v>
      </c>
      <c r="H206" s="212">
        <f>F206*G206</f>
        <v>0</v>
      </c>
      <c r="I206" s="212"/>
      <c r="J206" s="212">
        <v>0</v>
      </c>
      <c r="K206" s="212">
        <v>0</v>
      </c>
      <c r="L206" s="212">
        <f>H206</f>
        <v>0</v>
      </c>
    </row>
    <row r="207" spans="1:12" ht="13.5" customHeight="1">
      <c r="A207" s="1098"/>
      <c r="B207" s="1104"/>
      <c r="C207" s="1107"/>
      <c r="D207" s="1107"/>
      <c r="E207" s="299" t="s">
        <v>716</v>
      </c>
      <c r="F207" s="300">
        <f>F206</f>
        <v>0</v>
      </c>
      <c r="G207" s="300"/>
      <c r="H207" s="300">
        <f>H206</f>
        <v>0</v>
      </c>
      <c r="I207" s="290">
        <f>SUM(I203:I205)</f>
        <v>21</v>
      </c>
      <c r="J207" s="290"/>
      <c r="K207" s="290">
        <f>SUM(K203:K205)</f>
        <v>91184000</v>
      </c>
      <c r="L207" s="290">
        <f>SUM(L203:L206)</f>
        <v>91184000</v>
      </c>
    </row>
    <row r="208" spans="1:12" ht="13.5" customHeight="1">
      <c r="A208" s="1098"/>
      <c r="B208" s="1104"/>
      <c r="C208" s="1107"/>
      <c r="D208" s="1115" t="s">
        <v>719</v>
      </c>
      <c r="E208" s="1115"/>
      <c r="F208" s="303">
        <f>F207+F202</f>
        <v>89</v>
      </c>
      <c r="G208" s="303"/>
      <c r="H208" s="303">
        <f>H207+H202</f>
        <v>95230000</v>
      </c>
      <c r="I208" s="303">
        <f>I207+I202</f>
        <v>442</v>
      </c>
      <c r="J208" s="303"/>
      <c r="K208" s="303">
        <f>K207+K202</f>
        <v>1798904000</v>
      </c>
      <c r="L208" s="303">
        <f>L207+L202</f>
        <v>1894134000</v>
      </c>
    </row>
    <row r="209" spans="1:12" ht="13.5" customHeight="1">
      <c r="A209" s="1098"/>
      <c r="B209" s="1104"/>
      <c r="C209" s="1096" t="s">
        <v>713</v>
      </c>
      <c r="D209" s="1119" t="s">
        <v>714</v>
      </c>
      <c r="E209" s="211" t="s">
        <v>715</v>
      </c>
      <c r="F209" s="187"/>
      <c r="G209" s="212">
        <v>0</v>
      </c>
      <c r="H209" s="212">
        <f>$F209*G209</f>
        <v>0</v>
      </c>
      <c r="I209" s="212">
        <v>96</v>
      </c>
      <c r="J209" s="212">
        <v>4066000</v>
      </c>
      <c r="K209" s="212">
        <f>I209*J209</f>
        <v>390336000</v>
      </c>
      <c r="L209" s="212">
        <f>K209+H209</f>
        <v>390336000</v>
      </c>
    </row>
    <row r="210" spans="1:12" ht="13.5" customHeight="1">
      <c r="A210" s="1098"/>
      <c r="B210" s="1104"/>
      <c r="C210" s="1097"/>
      <c r="D210" s="1120"/>
      <c r="E210" s="211" t="s">
        <v>368</v>
      </c>
      <c r="F210" s="187"/>
      <c r="G210" s="212">
        <v>0</v>
      </c>
      <c r="H210" s="212">
        <f>$F210*G210</f>
        <v>0</v>
      </c>
      <c r="I210" s="212">
        <f>289+16</f>
        <v>305</v>
      </c>
      <c r="J210" s="212">
        <v>4066000</v>
      </c>
      <c r="K210" s="212">
        <f>I210*J210</f>
        <v>1240130000</v>
      </c>
      <c r="L210" s="212">
        <f aca="true" t="shared" si="29" ref="L210:L213">K210+H210</f>
        <v>1240130000</v>
      </c>
    </row>
    <row r="211" spans="1:12" ht="13.5" customHeight="1">
      <c r="A211" s="1098"/>
      <c r="B211" s="1104"/>
      <c r="C211" s="1097"/>
      <c r="D211" s="1120"/>
      <c r="E211" s="211" t="s">
        <v>369</v>
      </c>
      <c r="F211" s="187"/>
      <c r="G211" s="212"/>
      <c r="H211" s="212"/>
      <c r="I211" s="212">
        <v>2</v>
      </c>
      <c r="J211" s="212">
        <v>2033000</v>
      </c>
      <c r="K211" s="212">
        <f>I211*J211</f>
        <v>4066000</v>
      </c>
      <c r="L211" s="212">
        <f t="shared" si="29"/>
        <v>4066000</v>
      </c>
    </row>
    <row r="212" spans="1:12" ht="13.5" customHeight="1">
      <c r="A212" s="1099"/>
      <c r="B212" s="1105"/>
      <c r="C212" s="1109"/>
      <c r="D212" s="1121"/>
      <c r="E212" s="211" t="s">
        <v>1030</v>
      </c>
      <c r="F212" s="187"/>
      <c r="G212" s="212"/>
      <c r="H212" s="212"/>
      <c r="I212" s="212"/>
      <c r="J212" s="212"/>
      <c r="K212" s="212"/>
      <c r="L212" s="212">
        <f t="shared" si="29"/>
        <v>0</v>
      </c>
    </row>
    <row r="213" spans="1:12" ht="13.5" customHeight="1">
      <c r="A213" s="1098" t="s">
        <v>408</v>
      </c>
      <c r="B213" s="1104" t="s">
        <v>783</v>
      </c>
      <c r="C213" s="1097" t="s">
        <v>1649</v>
      </c>
      <c r="D213" s="1120"/>
      <c r="E213" s="306" t="s">
        <v>117</v>
      </c>
      <c r="F213" s="186">
        <v>96</v>
      </c>
      <c r="G213" s="700">
        <v>1070000</v>
      </c>
      <c r="H213" s="700">
        <f>F213*G213</f>
        <v>102720000</v>
      </c>
      <c r="I213" s="700"/>
      <c r="J213" s="700"/>
      <c r="K213" s="700">
        <f>I213*J213</f>
        <v>0</v>
      </c>
      <c r="L213" s="700">
        <f t="shared" si="29"/>
        <v>102720000</v>
      </c>
    </row>
    <row r="214" spans="1:12" ht="13.5" customHeight="1">
      <c r="A214" s="1098"/>
      <c r="B214" s="1104"/>
      <c r="C214" s="1097"/>
      <c r="D214" s="1121"/>
      <c r="E214" s="299" t="s">
        <v>716</v>
      </c>
      <c r="F214" s="300">
        <f>F213</f>
        <v>96</v>
      </c>
      <c r="G214" s="300"/>
      <c r="H214" s="300">
        <f>H213</f>
        <v>102720000</v>
      </c>
      <c r="I214" s="290">
        <f>SUM(I209:I211)</f>
        <v>403</v>
      </c>
      <c r="J214" s="290"/>
      <c r="K214" s="290">
        <f>SUM(K209:K211)</f>
        <v>1634532000</v>
      </c>
      <c r="L214" s="290">
        <f>SUM(L209:L213)</f>
        <v>1737252000</v>
      </c>
    </row>
    <row r="215" spans="1:12" ht="13.5" customHeight="1">
      <c r="A215" s="1098"/>
      <c r="B215" s="1104"/>
      <c r="C215" s="1097"/>
      <c r="D215" s="1107" t="s">
        <v>371</v>
      </c>
      <c r="E215" s="211" t="s">
        <v>715</v>
      </c>
      <c r="F215" s="212"/>
      <c r="G215" s="212">
        <v>0</v>
      </c>
      <c r="H215" s="212">
        <f>$F215*G215</f>
        <v>0</v>
      </c>
      <c r="I215" s="212">
        <v>2</v>
      </c>
      <c r="J215" s="212">
        <v>4448000</v>
      </c>
      <c r="K215" s="212">
        <f>I215*J215</f>
        <v>8896000</v>
      </c>
      <c r="L215" s="212">
        <f>K215+H215</f>
        <v>8896000</v>
      </c>
    </row>
    <row r="216" spans="1:12" ht="13.5" customHeight="1">
      <c r="A216" s="1098"/>
      <c r="B216" s="1104"/>
      <c r="C216" s="1097"/>
      <c r="D216" s="1107"/>
      <c r="E216" s="211" t="s">
        <v>368</v>
      </c>
      <c r="F216" s="187"/>
      <c r="G216" s="212">
        <v>0</v>
      </c>
      <c r="H216" s="212">
        <f>$F216*G216</f>
        <v>0</v>
      </c>
      <c r="I216" s="212">
        <f>11+1</f>
        <v>12</v>
      </c>
      <c r="J216" s="212">
        <v>4448000</v>
      </c>
      <c r="K216" s="212">
        <f>I216*J216</f>
        <v>53376000</v>
      </c>
      <c r="L216" s="212">
        <f aca="true" t="shared" si="30" ref="L216:L218">K216+H216</f>
        <v>53376000</v>
      </c>
    </row>
    <row r="217" spans="1:12" ht="13.5" customHeight="1">
      <c r="A217" s="1098"/>
      <c r="B217" s="1104"/>
      <c r="C217" s="1097"/>
      <c r="D217" s="1107"/>
      <c r="E217" s="211" t="s">
        <v>369</v>
      </c>
      <c r="F217" s="187"/>
      <c r="G217" s="212"/>
      <c r="H217" s="212"/>
      <c r="I217" s="212"/>
      <c r="J217" s="212"/>
      <c r="K217" s="212"/>
      <c r="L217" s="212">
        <f t="shared" si="30"/>
        <v>0</v>
      </c>
    </row>
    <row r="218" spans="1:12" ht="13.5" customHeight="1">
      <c r="A218" s="1098"/>
      <c r="B218" s="1104"/>
      <c r="C218" s="1097"/>
      <c r="D218" s="1107"/>
      <c r="E218" s="211" t="s">
        <v>722</v>
      </c>
      <c r="F218" s="187"/>
      <c r="G218" s="212">
        <v>1070000</v>
      </c>
      <c r="H218" s="212">
        <f>F218*G218</f>
        <v>0</v>
      </c>
      <c r="I218" s="212"/>
      <c r="J218" s="212">
        <v>0</v>
      </c>
      <c r="K218" s="212">
        <v>0</v>
      </c>
      <c r="L218" s="212">
        <f t="shared" si="30"/>
        <v>0</v>
      </c>
    </row>
    <row r="219" spans="1:12" ht="13.5" customHeight="1">
      <c r="A219" s="1098"/>
      <c r="B219" s="1104"/>
      <c r="C219" s="1097"/>
      <c r="D219" s="1107"/>
      <c r="E219" s="299" t="s">
        <v>716</v>
      </c>
      <c r="F219" s="300">
        <f>F218</f>
        <v>0</v>
      </c>
      <c r="G219" s="300"/>
      <c r="H219" s="300">
        <f>H218</f>
        <v>0</v>
      </c>
      <c r="I219" s="290">
        <f>SUM(I215:I217)</f>
        <v>14</v>
      </c>
      <c r="J219" s="290"/>
      <c r="K219" s="290">
        <f>SUM(K215:K217)</f>
        <v>62272000</v>
      </c>
      <c r="L219" s="290">
        <f>SUM(L215:L218)</f>
        <v>62272000</v>
      </c>
    </row>
    <row r="220" spans="1:12" ht="13.5" customHeight="1">
      <c r="A220" s="1098"/>
      <c r="B220" s="1104"/>
      <c r="C220" s="1109"/>
      <c r="D220" s="1115" t="s">
        <v>719</v>
      </c>
      <c r="E220" s="1115"/>
      <c r="F220" s="303">
        <f>F219+F214</f>
        <v>96</v>
      </c>
      <c r="G220" s="303"/>
      <c r="H220" s="303">
        <f>H219+H214</f>
        <v>102720000</v>
      </c>
      <c r="I220" s="303">
        <f>I219+I214</f>
        <v>417</v>
      </c>
      <c r="J220" s="303"/>
      <c r="K220" s="303">
        <f>K219+K214</f>
        <v>1696804000</v>
      </c>
      <c r="L220" s="303">
        <f>L219+L214</f>
        <v>1799524000</v>
      </c>
    </row>
    <row r="221" spans="1:12" ht="13.5" customHeight="1">
      <c r="A221" s="1098"/>
      <c r="B221" s="1105"/>
      <c r="C221" s="1088" t="s">
        <v>373</v>
      </c>
      <c r="D221" s="1089"/>
      <c r="E221" s="1090"/>
      <c r="F221" s="297">
        <f>F220+F208</f>
        <v>185</v>
      </c>
      <c r="G221" s="297"/>
      <c r="H221" s="297">
        <f>H220+H208</f>
        <v>197950000</v>
      </c>
      <c r="I221" s="297">
        <f>I220+I208</f>
        <v>859</v>
      </c>
      <c r="J221" s="297"/>
      <c r="K221" s="297">
        <f>K220+K208</f>
        <v>3495708000</v>
      </c>
      <c r="L221" s="297">
        <f>L220+L208</f>
        <v>3693658000</v>
      </c>
    </row>
    <row r="222" spans="1:12" ht="13.5" customHeight="1">
      <c r="A222" s="1098"/>
      <c r="B222" s="1103" t="s">
        <v>382</v>
      </c>
      <c r="C222" s="1107" t="s">
        <v>710</v>
      </c>
      <c r="D222" s="1114" t="s">
        <v>714</v>
      </c>
      <c r="E222" s="211" t="s">
        <v>715</v>
      </c>
      <c r="F222" s="191"/>
      <c r="G222" s="212">
        <v>0</v>
      </c>
      <c r="H222" s="212"/>
      <c r="I222" s="212">
        <v>25</v>
      </c>
      <c r="J222" s="212">
        <v>4566000</v>
      </c>
      <c r="K222" s="212">
        <f>I222*J222</f>
        <v>114150000</v>
      </c>
      <c r="L222" s="212">
        <f aca="true" t="shared" si="31" ref="L222:L228">H222+K222</f>
        <v>114150000</v>
      </c>
    </row>
    <row r="223" spans="1:12" ht="13.5" customHeight="1">
      <c r="A223" s="1098"/>
      <c r="B223" s="1104"/>
      <c r="C223" s="1107"/>
      <c r="D223" s="1114"/>
      <c r="E223" s="211" t="s">
        <v>368</v>
      </c>
      <c r="F223" s="191"/>
      <c r="G223" s="212"/>
      <c r="H223" s="212"/>
      <c r="I223" s="212">
        <v>45</v>
      </c>
      <c r="J223" s="212">
        <v>4566000</v>
      </c>
      <c r="K223" s="212">
        <f>I223*J223</f>
        <v>205470000</v>
      </c>
      <c r="L223" s="212">
        <f t="shared" si="31"/>
        <v>205470000</v>
      </c>
    </row>
    <row r="224" spans="1:12" ht="13.5" customHeight="1">
      <c r="A224" s="1098"/>
      <c r="B224" s="1104"/>
      <c r="C224" s="1107"/>
      <c r="D224" s="1114"/>
      <c r="E224" s="211" t="s">
        <v>117</v>
      </c>
      <c r="F224" s="191">
        <v>25</v>
      </c>
      <c r="G224" s="212">
        <v>1070000</v>
      </c>
      <c r="H224" s="212">
        <f>F224*G224</f>
        <v>26750000</v>
      </c>
      <c r="I224" s="212"/>
      <c r="J224" s="212">
        <v>0</v>
      </c>
      <c r="K224" s="212">
        <v>0</v>
      </c>
      <c r="L224" s="212">
        <f t="shared" si="31"/>
        <v>26750000</v>
      </c>
    </row>
    <row r="225" spans="1:12" ht="13.5" customHeight="1">
      <c r="A225" s="1098"/>
      <c r="B225" s="1104"/>
      <c r="C225" s="1107"/>
      <c r="D225" s="1114"/>
      <c r="E225" s="299" t="s">
        <v>716</v>
      </c>
      <c r="F225" s="289">
        <f>F224</f>
        <v>25</v>
      </c>
      <c r="G225" s="289">
        <f aca="true" t="shared" si="32" ref="G225:H225">G224</f>
        <v>1070000</v>
      </c>
      <c r="H225" s="289">
        <f t="shared" si="32"/>
        <v>26750000</v>
      </c>
      <c r="I225" s="289">
        <f>SUM(I222:I224)</f>
        <v>70</v>
      </c>
      <c r="J225" s="289"/>
      <c r="K225" s="289">
        <f>SUM(K222:K224)</f>
        <v>319620000</v>
      </c>
      <c r="L225" s="289">
        <f>SUM(L222:L224)</f>
        <v>346370000</v>
      </c>
    </row>
    <row r="226" spans="1:12" ht="13.5" customHeight="1">
      <c r="A226" s="1098"/>
      <c r="B226" s="1104"/>
      <c r="C226" s="1107" t="s">
        <v>713</v>
      </c>
      <c r="D226" s="1114" t="s">
        <v>714</v>
      </c>
      <c r="E226" s="211" t="s">
        <v>715</v>
      </c>
      <c r="F226" s="191"/>
      <c r="G226" s="212">
        <v>0</v>
      </c>
      <c r="H226" s="212">
        <v>0</v>
      </c>
      <c r="I226" s="212">
        <v>21</v>
      </c>
      <c r="J226" s="212">
        <v>4566000</v>
      </c>
      <c r="K226" s="212">
        <f>I226*J226</f>
        <v>95886000</v>
      </c>
      <c r="L226" s="212">
        <f t="shared" si="31"/>
        <v>95886000</v>
      </c>
    </row>
    <row r="227" spans="1:12" ht="13.5" customHeight="1">
      <c r="A227" s="1098"/>
      <c r="B227" s="1104"/>
      <c r="C227" s="1107"/>
      <c r="D227" s="1114"/>
      <c r="E227" s="211" t="s">
        <v>368</v>
      </c>
      <c r="F227" s="191"/>
      <c r="G227" s="212">
        <v>0</v>
      </c>
      <c r="H227" s="212">
        <v>0</v>
      </c>
      <c r="I227" s="212">
        <v>55</v>
      </c>
      <c r="J227" s="212">
        <v>4566000</v>
      </c>
      <c r="K227" s="212">
        <f>I227*J227</f>
        <v>251130000</v>
      </c>
      <c r="L227" s="212">
        <f t="shared" si="31"/>
        <v>251130000</v>
      </c>
    </row>
    <row r="228" spans="1:12" ht="13.5" customHeight="1">
      <c r="A228" s="1098"/>
      <c r="B228" s="1104"/>
      <c r="C228" s="1107"/>
      <c r="D228" s="1114"/>
      <c r="E228" s="211" t="s">
        <v>117</v>
      </c>
      <c r="F228" s="191">
        <v>21</v>
      </c>
      <c r="G228" s="212">
        <v>1070000</v>
      </c>
      <c r="H228" s="212">
        <f>F228*G228</f>
        <v>22470000</v>
      </c>
      <c r="I228" s="212">
        <v>0</v>
      </c>
      <c r="J228" s="212">
        <v>0</v>
      </c>
      <c r="K228" s="212">
        <v>0</v>
      </c>
      <c r="L228" s="212">
        <f t="shared" si="31"/>
        <v>22470000</v>
      </c>
    </row>
    <row r="229" spans="1:12" ht="13.5" customHeight="1">
      <c r="A229" s="1098"/>
      <c r="B229" s="1104"/>
      <c r="C229" s="1107"/>
      <c r="D229" s="1114"/>
      <c r="E229" s="308" t="s">
        <v>716</v>
      </c>
      <c r="F229" s="289">
        <f>F228</f>
        <v>21</v>
      </c>
      <c r="G229" s="290">
        <v>0</v>
      </c>
      <c r="H229" s="290">
        <f>SUM(H226:H228)</f>
        <v>22470000</v>
      </c>
      <c r="I229" s="290">
        <f>SUM(I226:I228)</f>
        <v>76</v>
      </c>
      <c r="J229" s="290">
        <v>0</v>
      </c>
      <c r="K229" s="290">
        <f>SUM(K226:K228)</f>
        <v>347016000</v>
      </c>
      <c r="L229" s="290">
        <f>SUM(L226:L228)</f>
        <v>369486000</v>
      </c>
    </row>
    <row r="230" spans="1:12" ht="13.5" customHeight="1">
      <c r="A230" s="1098"/>
      <c r="B230" s="1105"/>
      <c r="C230" s="1116" t="s">
        <v>373</v>
      </c>
      <c r="D230" s="1116"/>
      <c r="E230" s="1116"/>
      <c r="F230" s="297">
        <f>F229+F225</f>
        <v>46</v>
      </c>
      <c r="G230" s="297"/>
      <c r="H230" s="297">
        <f>H229+H225</f>
        <v>49220000</v>
      </c>
      <c r="I230" s="297">
        <f>I229+I225</f>
        <v>146</v>
      </c>
      <c r="J230" s="297"/>
      <c r="K230" s="297">
        <f>K229+K225</f>
        <v>666636000</v>
      </c>
      <c r="L230" s="297">
        <f>L229+L225</f>
        <v>715856000</v>
      </c>
    </row>
    <row r="231" spans="1:12" ht="13.5" customHeight="1">
      <c r="A231" s="1098"/>
      <c r="B231" s="1117" t="s">
        <v>409</v>
      </c>
      <c r="C231" s="1119" t="s">
        <v>710</v>
      </c>
      <c r="D231" s="1114" t="s">
        <v>714</v>
      </c>
      <c r="E231" s="211" t="s">
        <v>715</v>
      </c>
      <c r="F231" s="187"/>
      <c r="G231" s="212">
        <v>0</v>
      </c>
      <c r="H231" s="212">
        <f>$F231*G231</f>
        <v>0</v>
      </c>
      <c r="I231" s="212">
        <v>9</v>
      </c>
      <c r="J231" s="212">
        <v>4066000</v>
      </c>
      <c r="K231" s="212">
        <f>I231*J231</f>
        <v>36594000</v>
      </c>
      <c r="L231" s="212">
        <f>K231+H231</f>
        <v>36594000</v>
      </c>
    </row>
    <row r="232" spans="1:12" ht="13.5" customHeight="1">
      <c r="A232" s="1098"/>
      <c r="B232" s="1117"/>
      <c r="C232" s="1120"/>
      <c r="D232" s="1114"/>
      <c r="E232" s="211" t="s">
        <v>379</v>
      </c>
      <c r="F232" s="187"/>
      <c r="G232" s="212">
        <v>0</v>
      </c>
      <c r="H232" s="212">
        <v>0</v>
      </c>
      <c r="I232" s="212">
        <v>59</v>
      </c>
      <c r="J232" s="212">
        <v>4066000</v>
      </c>
      <c r="K232" s="212">
        <f>I232*J232</f>
        <v>239894000</v>
      </c>
      <c r="L232" s="212">
        <f aca="true" t="shared" si="33" ref="L232:L233">K232+H232</f>
        <v>239894000</v>
      </c>
    </row>
    <row r="233" spans="1:12" ht="13.5" customHeight="1">
      <c r="A233" s="1098"/>
      <c r="B233" s="1118"/>
      <c r="C233" s="1120"/>
      <c r="D233" s="1114"/>
      <c r="E233" s="211" t="s">
        <v>722</v>
      </c>
      <c r="F233" s="187">
        <v>9</v>
      </c>
      <c r="G233" s="212">
        <v>1070000</v>
      </c>
      <c r="H233" s="212">
        <f>$F233*G233</f>
        <v>9630000</v>
      </c>
      <c r="I233" s="212"/>
      <c r="J233" s="212">
        <v>0</v>
      </c>
      <c r="K233" s="212">
        <f>$F233*J233</f>
        <v>0</v>
      </c>
      <c r="L233" s="212">
        <f t="shared" si="33"/>
        <v>9630000</v>
      </c>
    </row>
    <row r="234" spans="1:12" ht="13.5" customHeight="1">
      <c r="A234" s="1098"/>
      <c r="B234" s="1118"/>
      <c r="C234" s="1120"/>
      <c r="D234" s="1114"/>
      <c r="E234" s="299" t="s">
        <v>716</v>
      </c>
      <c r="F234" s="300">
        <f>SUM(F233)</f>
        <v>9</v>
      </c>
      <c r="G234" s="290"/>
      <c r="H234" s="290">
        <f>SUM(H233)</f>
        <v>9630000</v>
      </c>
      <c r="I234" s="290">
        <f>SUM(I231:I232)</f>
        <v>68</v>
      </c>
      <c r="J234" s="290"/>
      <c r="K234" s="290">
        <f>SUM(K231:K232)</f>
        <v>276488000</v>
      </c>
      <c r="L234" s="290">
        <f>SUM(L231:L233)</f>
        <v>286118000</v>
      </c>
    </row>
    <row r="235" spans="1:12" ht="13.5" customHeight="1">
      <c r="A235" s="1098"/>
      <c r="B235" s="1118"/>
      <c r="C235" s="1119" t="s">
        <v>365</v>
      </c>
      <c r="D235" s="1114" t="s">
        <v>714</v>
      </c>
      <c r="E235" s="211" t="s">
        <v>715</v>
      </c>
      <c r="F235" s="187"/>
      <c r="G235" s="212">
        <v>0</v>
      </c>
      <c r="H235" s="212">
        <f>$F235*G235</f>
        <v>0</v>
      </c>
      <c r="I235" s="212">
        <v>8</v>
      </c>
      <c r="J235" s="212">
        <v>4066000</v>
      </c>
      <c r="K235" s="212">
        <f>I235*J235</f>
        <v>32528000</v>
      </c>
      <c r="L235" s="212">
        <f>K235+H235</f>
        <v>32528000</v>
      </c>
    </row>
    <row r="236" spans="1:12" ht="13.5" customHeight="1">
      <c r="A236" s="1098"/>
      <c r="B236" s="1118"/>
      <c r="C236" s="1120"/>
      <c r="D236" s="1114"/>
      <c r="E236" s="211" t="s">
        <v>368</v>
      </c>
      <c r="F236" s="187"/>
      <c r="G236" s="212"/>
      <c r="H236" s="212">
        <f>$F236*G236</f>
        <v>0</v>
      </c>
      <c r="I236" s="212">
        <v>53</v>
      </c>
      <c r="J236" s="212">
        <v>4066000</v>
      </c>
      <c r="K236" s="212">
        <f>I236*J236</f>
        <v>215498000</v>
      </c>
      <c r="L236" s="212">
        <f aca="true" t="shared" si="34" ref="L236:L239">K236+H236</f>
        <v>215498000</v>
      </c>
    </row>
    <row r="237" spans="1:12" ht="13.5" customHeight="1">
      <c r="A237" s="1098"/>
      <c r="B237" s="1118"/>
      <c r="C237" s="1120"/>
      <c r="D237" s="1114"/>
      <c r="E237" s="211" t="s">
        <v>1031</v>
      </c>
      <c r="F237" s="187"/>
      <c r="G237" s="212"/>
      <c r="H237" s="212"/>
      <c r="I237" s="212">
        <v>1</v>
      </c>
      <c r="J237" s="212">
        <v>2033000</v>
      </c>
      <c r="K237" s="212">
        <f>I237*J237</f>
        <v>2033000</v>
      </c>
      <c r="L237" s="212">
        <f t="shared" si="34"/>
        <v>2033000</v>
      </c>
    </row>
    <row r="238" spans="1:12" ht="13.5" customHeight="1">
      <c r="A238" s="1098"/>
      <c r="B238" s="1118"/>
      <c r="C238" s="1120"/>
      <c r="D238" s="1114"/>
      <c r="E238" s="211" t="s">
        <v>1030</v>
      </c>
      <c r="F238" s="187"/>
      <c r="G238" s="212"/>
      <c r="H238" s="212"/>
      <c r="I238" s="212">
        <v>14</v>
      </c>
      <c r="J238" s="212"/>
      <c r="K238" s="212">
        <f>11384800-1219800</f>
        <v>10165000</v>
      </c>
      <c r="L238" s="212">
        <f t="shared" si="34"/>
        <v>10165000</v>
      </c>
    </row>
    <row r="239" spans="1:12" ht="13.5" customHeight="1">
      <c r="A239" s="1098"/>
      <c r="B239" s="1118"/>
      <c r="C239" s="1120"/>
      <c r="D239" s="1114"/>
      <c r="E239" s="211" t="s">
        <v>117</v>
      </c>
      <c r="F239" s="187">
        <v>8</v>
      </c>
      <c r="G239" s="212">
        <v>1070000</v>
      </c>
      <c r="H239" s="212">
        <f>$F239*G239</f>
        <v>8560000</v>
      </c>
      <c r="I239" s="212">
        <v>0</v>
      </c>
      <c r="J239" s="212">
        <v>0</v>
      </c>
      <c r="K239" s="212">
        <f>$F239*J239</f>
        <v>0</v>
      </c>
      <c r="L239" s="212">
        <f t="shared" si="34"/>
        <v>8560000</v>
      </c>
    </row>
    <row r="240" spans="1:12" ht="13.5" customHeight="1">
      <c r="A240" s="1098"/>
      <c r="B240" s="1118"/>
      <c r="C240" s="1120"/>
      <c r="D240" s="1114"/>
      <c r="E240" s="299" t="s">
        <v>716</v>
      </c>
      <c r="F240" s="289">
        <f>SUM(F235:F239)</f>
        <v>8</v>
      </c>
      <c r="G240" s="290">
        <v>0</v>
      </c>
      <c r="H240" s="290">
        <f>SUM(H235:H239)</f>
        <v>8560000</v>
      </c>
      <c r="I240" s="290">
        <f>SUM(I235:I239)</f>
        <v>76</v>
      </c>
      <c r="J240" s="290"/>
      <c r="K240" s="290">
        <f>SUM(K235:K239)</f>
        <v>260224000</v>
      </c>
      <c r="L240" s="290">
        <f>SUM(L235:L239)</f>
        <v>268784000</v>
      </c>
    </row>
    <row r="241" spans="1:12" ht="13.5" customHeight="1">
      <c r="A241" s="1098"/>
      <c r="B241" s="1118"/>
      <c r="C241" s="1088" t="s">
        <v>373</v>
      </c>
      <c r="D241" s="1089"/>
      <c r="E241" s="1090"/>
      <c r="F241" s="297">
        <f aca="true" t="shared" si="35" ref="F241:L241">F240+F234</f>
        <v>17</v>
      </c>
      <c r="G241" s="297">
        <f t="shared" si="35"/>
        <v>0</v>
      </c>
      <c r="H241" s="297">
        <f t="shared" si="35"/>
        <v>18190000</v>
      </c>
      <c r="I241" s="297">
        <f t="shared" si="35"/>
        <v>144</v>
      </c>
      <c r="J241" s="297">
        <f t="shared" si="35"/>
        <v>0</v>
      </c>
      <c r="K241" s="297">
        <f>K240+K234</f>
        <v>536712000</v>
      </c>
      <c r="L241" s="297">
        <f t="shared" si="35"/>
        <v>554902000</v>
      </c>
    </row>
    <row r="242" spans="1:12" ht="13.5" customHeight="1">
      <c r="A242" s="1098"/>
      <c r="B242" s="1103" t="s">
        <v>383</v>
      </c>
      <c r="C242" s="1096" t="s">
        <v>710</v>
      </c>
      <c r="D242" s="1110" t="s">
        <v>724</v>
      </c>
      <c r="E242" s="211" t="s">
        <v>374</v>
      </c>
      <c r="F242" s="191"/>
      <c r="G242" s="191">
        <v>0</v>
      </c>
      <c r="H242" s="191">
        <v>0</v>
      </c>
      <c r="I242" s="191">
        <v>50</v>
      </c>
      <c r="J242" s="191">
        <v>9055000</v>
      </c>
      <c r="K242" s="191">
        <f>I242*J242</f>
        <v>452750000</v>
      </c>
      <c r="L242" s="191">
        <f aca="true" t="shared" si="36" ref="L242:L247">H242+K242</f>
        <v>452750000</v>
      </c>
    </row>
    <row r="243" spans="1:12" ht="13.5" customHeight="1">
      <c r="A243" s="1098"/>
      <c r="B243" s="1104"/>
      <c r="C243" s="1097"/>
      <c r="D243" s="1111"/>
      <c r="E243" s="211" t="s">
        <v>375</v>
      </c>
      <c r="F243" s="191"/>
      <c r="G243" s="191"/>
      <c r="H243" s="191"/>
      <c r="I243" s="191">
        <v>101</v>
      </c>
      <c r="J243" s="191">
        <v>9055000</v>
      </c>
      <c r="K243" s="191">
        <f>I243*J243</f>
        <v>914555000</v>
      </c>
      <c r="L243" s="191">
        <f t="shared" si="36"/>
        <v>914555000</v>
      </c>
    </row>
    <row r="244" spans="1:12" ht="13.5" customHeight="1">
      <c r="A244" s="1098"/>
      <c r="B244" s="1104"/>
      <c r="C244" s="1097"/>
      <c r="D244" s="1111"/>
      <c r="E244" s="211" t="s">
        <v>726</v>
      </c>
      <c r="F244" s="191"/>
      <c r="G244" s="191"/>
      <c r="H244" s="191"/>
      <c r="I244" s="191"/>
      <c r="J244" s="191">
        <v>4826000</v>
      </c>
      <c r="K244" s="191">
        <f>I244*J244</f>
        <v>0</v>
      </c>
      <c r="L244" s="191">
        <f t="shared" si="36"/>
        <v>0</v>
      </c>
    </row>
    <row r="245" spans="1:12" ht="13.5" customHeight="1">
      <c r="A245" s="1098"/>
      <c r="B245" s="1104"/>
      <c r="C245" s="1097"/>
      <c r="D245" s="1111"/>
      <c r="E245" s="211" t="s">
        <v>727</v>
      </c>
      <c r="F245" s="191"/>
      <c r="G245" s="191"/>
      <c r="H245" s="191"/>
      <c r="I245" s="191">
        <v>1</v>
      </c>
      <c r="J245" s="191">
        <v>4826000</v>
      </c>
      <c r="K245" s="191">
        <f>I245*J245</f>
        <v>4826000</v>
      </c>
      <c r="L245" s="191">
        <f t="shared" si="36"/>
        <v>4826000</v>
      </c>
    </row>
    <row r="246" spans="1:12" ht="13.5" customHeight="1">
      <c r="A246" s="1098"/>
      <c r="B246" s="1104"/>
      <c r="C246" s="1097"/>
      <c r="D246" s="1111"/>
      <c r="E246" s="211" t="s">
        <v>720</v>
      </c>
      <c r="F246" s="191">
        <v>50</v>
      </c>
      <c r="G246" s="191">
        <v>1600000</v>
      </c>
      <c r="H246" s="191">
        <f>F246*G246</f>
        <v>80000000</v>
      </c>
      <c r="I246" s="191"/>
      <c r="J246" s="191">
        <v>0</v>
      </c>
      <c r="K246" s="191">
        <v>0</v>
      </c>
      <c r="L246" s="191">
        <f t="shared" si="36"/>
        <v>80000000</v>
      </c>
    </row>
    <row r="247" spans="1:12" ht="13.5" customHeight="1">
      <c r="A247" s="1099"/>
      <c r="B247" s="1105"/>
      <c r="C247" s="1109"/>
      <c r="D247" s="1112"/>
      <c r="E247" s="211" t="s">
        <v>729</v>
      </c>
      <c r="F247" s="191"/>
      <c r="G247" s="191">
        <v>1070000</v>
      </c>
      <c r="H247" s="191">
        <f>F247*G247</f>
        <v>0</v>
      </c>
      <c r="I247" s="191"/>
      <c r="J247" s="191"/>
      <c r="K247" s="191"/>
      <c r="L247" s="191">
        <f t="shared" si="36"/>
        <v>0</v>
      </c>
    </row>
    <row r="248" spans="1:12" ht="13.5" customHeight="1">
      <c r="A248" s="1098" t="s">
        <v>408</v>
      </c>
      <c r="B248" s="1104" t="s">
        <v>784</v>
      </c>
      <c r="C248" s="831"/>
      <c r="D248" s="832"/>
      <c r="E248" s="833" t="s">
        <v>716</v>
      </c>
      <c r="F248" s="834">
        <f>SUM(F246:F247)</f>
        <v>50</v>
      </c>
      <c r="G248" s="834"/>
      <c r="H248" s="834">
        <f>SUM(H246:H247)</f>
        <v>80000000</v>
      </c>
      <c r="I248" s="834">
        <f>SUM(I242:I246)</f>
        <v>152</v>
      </c>
      <c r="J248" s="834"/>
      <c r="K248" s="834">
        <f>SUM(K242:K247)</f>
        <v>1372131000</v>
      </c>
      <c r="L248" s="834">
        <f>SUM(L242:L247)</f>
        <v>1452131000</v>
      </c>
    </row>
    <row r="249" spans="1:12" ht="13.5" customHeight="1">
      <c r="A249" s="1098"/>
      <c r="B249" s="1104"/>
      <c r="C249" s="1107" t="s">
        <v>713</v>
      </c>
      <c r="D249" s="1108" t="s">
        <v>724</v>
      </c>
      <c r="E249" s="211" t="s">
        <v>374</v>
      </c>
      <c r="F249" s="191"/>
      <c r="G249" s="191">
        <v>0</v>
      </c>
      <c r="H249" s="191">
        <v>0</v>
      </c>
      <c r="I249" s="191"/>
      <c r="J249" s="191">
        <v>9055000</v>
      </c>
      <c r="K249" s="191">
        <f>I249*J249</f>
        <v>0</v>
      </c>
      <c r="L249" s="191">
        <f aca="true" t="shared" si="37" ref="L249:L254">H249+K249</f>
        <v>0</v>
      </c>
    </row>
    <row r="250" spans="1:12" ht="13.5" customHeight="1">
      <c r="A250" s="1098"/>
      <c r="B250" s="1104"/>
      <c r="C250" s="1107"/>
      <c r="D250" s="1108"/>
      <c r="E250" s="211" t="s">
        <v>375</v>
      </c>
      <c r="F250" s="191"/>
      <c r="G250" s="191"/>
      <c r="H250" s="191"/>
      <c r="I250" s="191">
        <v>147</v>
      </c>
      <c r="J250" s="191">
        <v>9055000</v>
      </c>
      <c r="K250" s="191">
        <f>I250*J250</f>
        <v>1331085000</v>
      </c>
      <c r="L250" s="191">
        <f t="shared" si="37"/>
        <v>1331085000</v>
      </c>
    </row>
    <row r="251" spans="1:12" ht="13.5" customHeight="1">
      <c r="A251" s="1098"/>
      <c r="B251" s="1104"/>
      <c r="C251" s="1107"/>
      <c r="D251" s="1108"/>
      <c r="E251" s="211" t="s">
        <v>726</v>
      </c>
      <c r="F251" s="191"/>
      <c r="G251" s="191"/>
      <c r="H251" s="191"/>
      <c r="I251" s="191">
        <v>1</v>
      </c>
      <c r="J251" s="191">
        <v>4826000</v>
      </c>
      <c r="K251" s="191">
        <f>I251*J251</f>
        <v>4826000</v>
      </c>
      <c r="L251" s="191">
        <f t="shared" si="37"/>
        <v>4826000</v>
      </c>
    </row>
    <row r="252" spans="1:12" ht="13.5" customHeight="1">
      <c r="A252" s="1098"/>
      <c r="B252" s="1104"/>
      <c r="C252" s="1107"/>
      <c r="D252" s="1108"/>
      <c r="E252" s="211" t="s">
        <v>727</v>
      </c>
      <c r="F252" s="191"/>
      <c r="G252" s="191"/>
      <c r="H252" s="191"/>
      <c r="I252" s="191">
        <v>2</v>
      </c>
      <c r="J252" s="191">
        <v>4826000</v>
      </c>
      <c r="K252" s="191">
        <f>I252*J252</f>
        <v>9652000</v>
      </c>
      <c r="L252" s="191">
        <f t="shared" si="37"/>
        <v>9652000</v>
      </c>
    </row>
    <row r="253" spans="1:12" ht="13.5" customHeight="1">
      <c r="A253" s="1098"/>
      <c r="B253" s="1104"/>
      <c r="C253" s="1107"/>
      <c r="D253" s="1108"/>
      <c r="E253" s="211" t="s">
        <v>728</v>
      </c>
      <c r="F253" s="191"/>
      <c r="G253" s="191">
        <v>1600000</v>
      </c>
      <c r="H253" s="191">
        <f>F253*G253</f>
        <v>0</v>
      </c>
      <c r="I253" s="191"/>
      <c r="J253" s="191">
        <v>0</v>
      </c>
      <c r="K253" s="191">
        <v>0</v>
      </c>
      <c r="L253" s="191">
        <f t="shared" si="37"/>
        <v>0</v>
      </c>
    </row>
    <row r="254" spans="1:12" ht="13.5" customHeight="1">
      <c r="A254" s="1098"/>
      <c r="B254" s="1104"/>
      <c r="C254" s="1107"/>
      <c r="D254" s="1108"/>
      <c r="E254" s="211" t="s">
        <v>729</v>
      </c>
      <c r="F254" s="191">
        <v>1</v>
      </c>
      <c r="G254" s="191">
        <v>1070000</v>
      </c>
      <c r="H254" s="191">
        <f>F254*G254</f>
        <v>1070000</v>
      </c>
      <c r="I254" s="191"/>
      <c r="J254" s="191"/>
      <c r="K254" s="191"/>
      <c r="L254" s="191">
        <f t="shared" si="37"/>
        <v>1070000</v>
      </c>
    </row>
    <row r="255" spans="1:12" ht="13.5" customHeight="1">
      <c r="A255" s="1098"/>
      <c r="B255" s="1104"/>
      <c r="C255" s="1107"/>
      <c r="D255" s="1108"/>
      <c r="E255" s="299" t="s">
        <v>716</v>
      </c>
      <c r="F255" s="289">
        <f>SUM(F253:F254)</f>
        <v>1</v>
      </c>
      <c r="G255" s="289"/>
      <c r="H255" s="289">
        <f>SUM(H253:H254)</f>
        <v>1070000</v>
      </c>
      <c r="I255" s="289">
        <f>SUM(I250:I254)</f>
        <v>150</v>
      </c>
      <c r="J255" s="289"/>
      <c r="K255" s="289">
        <f>SUM(K249:K254)</f>
        <v>1345563000</v>
      </c>
      <c r="L255" s="289">
        <f>SUM(L249:L254)</f>
        <v>1346633000</v>
      </c>
    </row>
    <row r="256" spans="1:12" ht="13.5" customHeight="1">
      <c r="A256" s="1098"/>
      <c r="B256" s="1105"/>
      <c r="C256" s="1088" t="s">
        <v>373</v>
      </c>
      <c r="D256" s="1089"/>
      <c r="E256" s="1090"/>
      <c r="F256" s="297">
        <f>F255+F248</f>
        <v>51</v>
      </c>
      <c r="G256" s="297">
        <f aca="true" t="shared" si="38" ref="G256:J256">G255+G248</f>
        <v>0</v>
      </c>
      <c r="H256" s="297">
        <f>H255+H248</f>
        <v>81070000</v>
      </c>
      <c r="I256" s="297">
        <f t="shared" si="38"/>
        <v>302</v>
      </c>
      <c r="J256" s="297">
        <f t="shared" si="38"/>
        <v>0</v>
      </c>
      <c r="K256" s="297">
        <f>K255+K248</f>
        <v>2717694000</v>
      </c>
      <c r="L256" s="297">
        <f>L255+L248</f>
        <v>2798764000</v>
      </c>
    </row>
    <row r="257" spans="1:12" ht="13.5" customHeight="1">
      <c r="A257" s="1099"/>
      <c r="B257" s="1091" t="s">
        <v>730</v>
      </c>
      <c r="C257" s="1091"/>
      <c r="D257" s="1091"/>
      <c r="E257" s="1091"/>
      <c r="F257" s="309">
        <f aca="true" t="shared" si="39" ref="F257:L257">F256+F241+F230+F221+F197+F184+F174+F163+F151+F138</f>
        <v>1259</v>
      </c>
      <c r="G257" s="309">
        <f t="shared" si="39"/>
        <v>0</v>
      </c>
      <c r="H257" s="309">
        <f t="shared" si="39"/>
        <v>1375619000</v>
      </c>
      <c r="I257" s="309">
        <f t="shared" si="39"/>
        <v>5252</v>
      </c>
      <c r="J257" s="309">
        <f t="shared" si="39"/>
        <v>0</v>
      </c>
      <c r="K257" s="309">
        <f t="shared" si="39"/>
        <v>25220645300</v>
      </c>
      <c r="L257" s="309">
        <f t="shared" si="39"/>
        <v>26596264300</v>
      </c>
    </row>
    <row r="258" spans="1:12" ht="13.5" customHeight="1">
      <c r="A258" s="1113" t="s">
        <v>384</v>
      </c>
      <c r="B258" s="1113"/>
      <c r="C258" s="1113"/>
      <c r="D258" s="1113"/>
      <c r="E258" s="1113"/>
      <c r="F258" s="830">
        <f aca="true" t="shared" si="40" ref="F258:L258">F257+F99</f>
        <v>5356</v>
      </c>
      <c r="G258" s="830">
        <f t="shared" si="40"/>
        <v>0</v>
      </c>
      <c r="H258" s="830">
        <f t="shared" si="40"/>
        <v>5501298000</v>
      </c>
      <c r="I258" s="830">
        <f t="shared" si="40"/>
        <v>37467</v>
      </c>
      <c r="J258" s="830">
        <f t="shared" si="40"/>
        <v>0</v>
      </c>
      <c r="K258" s="830">
        <f t="shared" si="40"/>
        <v>138362210300</v>
      </c>
      <c r="L258" s="830">
        <f t="shared" si="40"/>
        <v>143863508300</v>
      </c>
    </row>
  </sheetData>
  <mergeCells count="116">
    <mergeCell ref="C164:C168"/>
    <mergeCell ref="D164:D168"/>
    <mergeCell ref="C169:C173"/>
    <mergeCell ref="D49:E49"/>
    <mergeCell ref="D119:D124"/>
    <mergeCell ref="D125:D130"/>
    <mergeCell ref="D131:D136"/>
    <mergeCell ref="A3:B37"/>
    <mergeCell ref="C3:C37"/>
    <mergeCell ref="D28:D37"/>
    <mergeCell ref="C119:C136"/>
    <mergeCell ref="D169:D173"/>
    <mergeCell ref="C139:C142"/>
    <mergeCell ref="D139:D142"/>
    <mergeCell ref="C143:C144"/>
    <mergeCell ref="D143:D144"/>
    <mergeCell ref="C145:C150"/>
    <mergeCell ref="D145:D150"/>
    <mergeCell ref="D152:D156"/>
    <mergeCell ref="C157:C162"/>
    <mergeCell ref="D157:D162"/>
    <mergeCell ref="C163:E163"/>
    <mergeCell ref="L1:L2"/>
    <mergeCell ref="F1:H1"/>
    <mergeCell ref="I1:K1"/>
    <mergeCell ref="E1:E2"/>
    <mergeCell ref="D3:D27"/>
    <mergeCell ref="A1:B2"/>
    <mergeCell ref="C1:C2"/>
    <mergeCell ref="D1:D2"/>
    <mergeCell ref="C138:E138"/>
    <mergeCell ref="C137:E137"/>
    <mergeCell ref="A38:B72"/>
    <mergeCell ref="A73:B98"/>
    <mergeCell ref="C38:C49"/>
    <mergeCell ref="D38:D48"/>
    <mergeCell ref="C51:C72"/>
    <mergeCell ref="D51:D72"/>
    <mergeCell ref="C73:C97"/>
    <mergeCell ref="D73:D75"/>
    <mergeCell ref="A100:A107"/>
    <mergeCell ref="A108:A142"/>
    <mergeCell ref="C100:C107"/>
    <mergeCell ref="C108:C117"/>
    <mergeCell ref="D97:E97"/>
    <mergeCell ref="C50:E50"/>
    <mergeCell ref="D76:D85"/>
    <mergeCell ref="D86:D96"/>
    <mergeCell ref="C98:E98"/>
    <mergeCell ref="A99:E99"/>
    <mergeCell ref="D100:D105"/>
    <mergeCell ref="D106:D111"/>
    <mergeCell ref="D112:D117"/>
    <mergeCell ref="C118:E118"/>
    <mergeCell ref="C209:C212"/>
    <mergeCell ref="C213:C220"/>
    <mergeCell ref="D209:D212"/>
    <mergeCell ref="D213:D214"/>
    <mergeCell ref="C175:C177"/>
    <mergeCell ref="D175:D177"/>
    <mergeCell ref="C178:C179"/>
    <mergeCell ref="D178:D179"/>
    <mergeCell ref="C180:C183"/>
    <mergeCell ref="D180:D183"/>
    <mergeCell ref="C184:E184"/>
    <mergeCell ref="C185:C189"/>
    <mergeCell ref="D190:D196"/>
    <mergeCell ref="C197:E197"/>
    <mergeCell ref="A258:E258"/>
    <mergeCell ref="C198:C208"/>
    <mergeCell ref="D198:D202"/>
    <mergeCell ref="D203:D207"/>
    <mergeCell ref="D208:E208"/>
    <mergeCell ref="D215:D219"/>
    <mergeCell ref="D220:E220"/>
    <mergeCell ref="C221:E221"/>
    <mergeCell ref="B222:B230"/>
    <mergeCell ref="C222:C225"/>
    <mergeCell ref="D222:D225"/>
    <mergeCell ref="C226:C229"/>
    <mergeCell ref="D226:D229"/>
    <mergeCell ref="C230:E230"/>
    <mergeCell ref="B231:B241"/>
    <mergeCell ref="C231:C234"/>
    <mergeCell ref="C235:C240"/>
    <mergeCell ref="D235:D240"/>
    <mergeCell ref="C241:E241"/>
    <mergeCell ref="D231:D234"/>
    <mergeCell ref="A178:A212"/>
    <mergeCell ref="A213:A247"/>
    <mergeCell ref="D185:D189"/>
    <mergeCell ref="C190:C196"/>
    <mergeCell ref="C256:E256"/>
    <mergeCell ref="B257:E257"/>
    <mergeCell ref="C174:E174"/>
    <mergeCell ref="C151:E151"/>
    <mergeCell ref="B152:B163"/>
    <mergeCell ref="C152:C156"/>
    <mergeCell ref="A248:A257"/>
    <mergeCell ref="B100:B107"/>
    <mergeCell ref="B108:B138"/>
    <mergeCell ref="B139:B142"/>
    <mergeCell ref="B143:B151"/>
    <mergeCell ref="B175:B177"/>
    <mergeCell ref="B178:B184"/>
    <mergeCell ref="B198:B212"/>
    <mergeCell ref="B242:B247"/>
    <mergeCell ref="B248:B256"/>
    <mergeCell ref="B164:B174"/>
    <mergeCell ref="B185:B197"/>
    <mergeCell ref="A143:A177"/>
    <mergeCell ref="B213:B221"/>
    <mergeCell ref="C249:C255"/>
    <mergeCell ref="D249:D255"/>
    <mergeCell ref="C242:C247"/>
    <mergeCell ref="D242:D247"/>
  </mergeCells>
  <printOptions gridLines="1" horizontalCentered="1"/>
  <pageMargins left="0.2755905511811024" right="0.2755905511811024" top="0.7480314960629921" bottom="0.2362204724409449" header="0.1968503937007874" footer="0.1968503937007874"/>
  <pageSetup horizontalDpi="600" verticalDpi="600" orientation="landscape" paperSize="9" r:id="rId1"/>
  <headerFooter alignWithMargins="0">
    <oddHeader xml:space="preserve">&amp;L&amp;"새굴림,보통"&amp;9&lt;별지 제2호서식&gt;&amp;C&amp;"굴림체,굵게"&amp;24등록금 명세서&amp;R
&amp;"굴림체,보통"&amp;9(단위 : 원) 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L15" sqref="L15"/>
    </sheetView>
  </sheetViews>
  <sheetFormatPr defaultColWidth="9.00390625" defaultRowHeight="14.25"/>
  <cols>
    <col min="1" max="1" width="11.375" style="3" customWidth="1"/>
    <col min="2" max="2" width="13.125" style="3" customWidth="1"/>
    <col min="3" max="3" width="16.50390625" style="3" customWidth="1"/>
    <col min="4" max="4" width="16.125" style="3" customWidth="1"/>
    <col min="5" max="5" width="12.50390625" style="3" customWidth="1"/>
    <col min="6" max="6" width="20.875" style="3" customWidth="1"/>
    <col min="7" max="7" width="16.875" style="3" bestFit="1" customWidth="1"/>
    <col min="8" max="8" width="13.00390625" style="3" customWidth="1"/>
    <col min="9" max="251" width="9.00390625" style="3" customWidth="1"/>
    <col min="252" max="252" width="11.375" style="3" customWidth="1"/>
    <col min="253" max="253" width="13.125" style="3" customWidth="1"/>
    <col min="254" max="254" width="16.50390625" style="3" customWidth="1"/>
    <col min="255" max="255" width="16.125" style="3" customWidth="1"/>
    <col min="256" max="256" width="12.50390625" style="3" customWidth="1"/>
    <col min="257" max="257" width="16.50390625" style="3" customWidth="1"/>
    <col min="258" max="258" width="16.875" style="3" bestFit="1" customWidth="1"/>
    <col min="259" max="259" width="13.00390625" style="3" customWidth="1"/>
    <col min="260" max="507" width="9.00390625" style="3" customWidth="1"/>
    <col min="508" max="508" width="11.375" style="3" customWidth="1"/>
    <col min="509" max="509" width="13.125" style="3" customWidth="1"/>
    <col min="510" max="510" width="16.50390625" style="3" customWidth="1"/>
    <col min="511" max="511" width="16.125" style="3" customWidth="1"/>
    <col min="512" max="512" width="12.50390625" style="3" customWidth="1"/>
    <col min="513" max="513" width="16.50390625" style="3" customWidth="1"/>
    <col min="514" max="514" width="16.875" style="3" bestFit="1" customWidth="1"/>
    <col min="515" max="515" width="13.00390625" style="3" customWidth="1"/>
    <col min="516" max="763" width="9.00390625" style="3" customWidth="1"/>
    <col min="764" max="764" width="11.375" style="3" customWidth="1"/>
    <col min="765" max="765" width="13.125" style="3" customWidth="1"/>
    <col min="766" max="766" width="16.50390625" style="3" customWidth="1"/>
    <col min="767" max="767" width="16.125" style="3" customWidth="1"/>
    <col min="768" max="768" width="12.50390625" style="3" customWidth="1"/>
    <col min="769" max="769" width="16.50390625" style="3" customWidth="1"/>
    <col min="770" max="770" width="16.875" style="3" bestFit="1" customWidth="1"/>
    <col min="771" max="771" width="13.00390625" style="3" customWidth="1"/>
    <col min="772" max="1019" width="9.00390625" style="3" customWidth="1"/>
    <col min="1020" max="1020" width="11.375" style="3" customWidth="1"/>
    <col min="1021" max="1021" width="13.125" style="3" customWidth="1"/>
    <col min="1022" max="1022" width="16.50390625" style="3" customWidth="1"/>
    <col min="1023" max="1023" width="16.125" style="3" customWidth="1"/>
    <col min="1024" max="1024" width="12.50390625" style="3" customWidth="1"/>
    <col min="1025" max="1025" width="16.50390625" style="3" customWidth="1"/>
    <col min="1026" max="1026" width="16.875" style="3" bestFit="1" customWidth="1"/>
    <col min="1027" max="1027" width="13.00390625" style="3" customWidth="1"/>
    <col min="1028" max="1275" width="9.00390625" style="3" customWidth="1"/>
    <col min="1276" max="1276" width="11.375" style="3" customWidth="1"/>
    <col min="1277" max="1277" width="13.125" style="3" customWidth="1"/>
    <col min="1278" max="1278" width="16.50390625" style="3" customWidth="1"/>
    <col min="1279" max="1279" width="16.125" style="3" customWidth="1"/>
    <col min="1280" max="1280" width="12.50390625" style="3" customWidth="1"/>
    <col min="1281" max="1281" width="16.50390625" style="3" customWidth="1"/>
    <col min="1282" max="1282" width="16.875" style="3" bestFit="1" customWidth="1"/>
    <col min="1283" max="1283" width="13.00390625" style="3" customWidth="1"/>
    <col min="1284" max="1531" width="9.00390625" style="3" customWidth="1"/>
    <col min="1532" max="1532" width="11.375" style="3" customWidth="1"/>
    <col min="1533" max="1533" width="13.125" style="3" customWidth="1"/>
    <col min="1534" max="1534" width="16.50390625" style="3" customWidth="1"/>
    <col min="1535" max="1535" width="16.125" style="3" customWidth="1"/>
    <col min="1536" max="1536" width="12.50390625" style="3" customWidth="1"/>
    <col min="1537" max="1537" width="16.50390625" style="3" customWidth="1"/>
    <col min="1538" max="1538" width="16.875" style="3" bestFit="1" customWidth="1"/>
    <col min="1539" max="1539" width="13.00390625" style="3" customWidth="1"/>
    <col min="1540" max="1787" width="9.00390625" style="3" customWidth="1"/>
    <col min="1788" max="1788" width="11.375" style="3" customWidth="1"/>
    <col min="1789" max="1789" width="13.125" style="3" customWidth="1"/>
    <col min="1790" max="1790" width="16.50390625" style="3" customWidth="1"/>
    <col min="1791" max="1791" width="16.125" style="3" customWidth="1"/>
    <col min="1792" max="1792" width="12.50390625" style="3" customWidth="1"/>
    <col min="1793" max="1793" width="16.50390625" style="3" customWidth="1"/>
    <col min="1794" max="1794" width="16.875" style="3" bestFit="1" customWidth="1"/>
    <col min="1795" max="1795" width="13.00390625" style="3" customWidth="1"/>
    <col min="1796" max="2043" width="9.00390625" style="3" customWidth="1"/>
    <col min="2044" max="2044" width="11.375" style="3" customWidth="1"/>
    <col min="2045" max="2045" width="13.125" style="3" customWidth="1"/>
    <col min="2046" max="2046" width="16.50390625" style="3" customWidth="1"/>
    <col min="2047" max="2047" width="16.125" style="3" customWidth="1"/>
    <col min="2048" max="2048" width="12.50390625" style="3" customWidth="1"/>
    <col min="2049" max="2049" width="16.50390625" style="3" customWidth="1"/>
    <col min="2050" max="2050" width="16.875" style="3" bestFit="1" customWidth="1"/>
    <col min="2051" max="2051" width="13.00390625" style="3" customWidth="1"/>
    <col min="2052" max="2299" width="9.00390625" style="3" customWidth="1"/>
    <col min="2300" max="2300" width="11.375" style="3" customWidth="1"/>
    <col min="2301" max="2301" width="13.125" style="3" customWidth="1"/>
    <col min="2302" max="2302" width="16.50390625" style="3" customWidth="1"/>
    <col min="2303" max="2303" width="16.125" style="3" customWidth="1"/>
    <col min="2304" max="2304" width="12.50390625" style="3" customWidth="1"/>
    <col min="2305" max="2305" width="16.50390625" style="3" customWidth="1"/>
    <col min="2306" max="2306" width="16.875" style="3" bestFit="1" customWidth="1"/>
    <col min="2307" max="2307" width="13.00390625" style="3" customWidth="1"/>
    <col min="2308" max="2555" width="9.00390625" style="3" customWidth="1"/>
    <col min="2556" max="2556" width="11.375" style="3" customWidth="1"/>
    <col min="2557" max="2557" width="13.125" style="3" customWidth="1"/>
    <col min="2558" max="2558" width="16.50390625" style="3" customWidth="1"/>
    <col min="2559" max="2559" width="16.125" style="3" customWidth="1"/>
    <col min="2560" max="2560" width="12.50390625" style="3" customWidth="1"/>
    <col min="2561" max="2561" width="16.50390625" style="3" customWidth="1"/>
    <col min="2562" max="2562" width="16.875" style="3" bestFit="1" customWidth="1"/>
    <col min="2563" max="2563" width="13.00390625" style="3" customWidth="1"/>
    <col min="2564" max="2811" width="9.00390625" style="3" customWidth="1"/>
    <col min="2812" max="2812" width="11.375" style="3" customWidth="1"/>
    <col min="2813" max="2813" width="13.125" style="3" customWidth="1"/>
    <col min="2814" max="2814" width="16.50390625" style="3" customWidth="1"/>
    <col min="2815" max="2815" width="16.125" style="3" customWidth="1"/>
    <col min="2816" max="2816" width="12.50390625" style="3" customWidth="1"/>
    <col min="2817" max="2817" width="16.50390625" style="3" customWidth="1"/>
    <col min="2818" max="2818" width="16.875" style="3" bestFit="1" customWidth="1"/>
    <col min="2819" max="2819" width="13.00390625" style="3" customWidth="1"/>
    <col min="2820" max="3067" width="9.00390625" style="3" customWidth="1"/>
    <col min="3068" max="3068" width="11.375" style="3" customWidth="1"/>
    <col min="3069" max="3069" width="13.125" style="3" customWidth="1"/>
    <col min="3070" max="3070" width="16.50390625" style="3" customWidth="1"/>
    <col min="3071" max="3071" width="16.125" style="3" customWidth="1"/>
    <col min="3072" max="3072" width="12.50390625" style="3" customWidth="1"/>
    <col min="3073" max="3073" width="16.50390625" style="3" customWidth="1"/>
    <col min="3074" max="3074" width="16.875" style="3" bestFit="1" customWidth="1"/>
    <col min="3075" max="3075" width="13.00390625" style="3" customWidth="1"/>
    <col min="3076" max="3323" width="9.00390625" style="3" customWidth="1"/>
    <col min="3324" max="3324" width="11.375" style="3" customWidth="1"/>
    <col min="3325" max="3325" width="13.125" style="3" customWidth="1"/>
    <col min="3326" max="3326" width="16.50390625" style="3" customWidth="1"/>
    <col min="3327" max="3327" width="16.125" style="3" customWidth="1"/>
    <col min="3328" max="3328" width="12.50390625" style="3" customWidth="1"/>
    <col min="3329" max="3329" width="16.50390625" style="3" customWidth="1"/>
    <col min="3330" max="3330" width="16.875" style="3" bestFit="1" customWidth="1"/>
    <col min="3331" max="3331" width="13.00390625" style="3" customWidth="1"/>
    <col min="3332" max="3579" width="9.00390625" style="3" customWidth="1"/>
    <col min="3580" max="3580" width="11.375" style="3" customWidth="1"/>
    <col min="3581" max="3581" width="13.125" style="3" customWidth="1"/>
    <col min="3582" max="3582" width="16.50390625" style="3" customWidth="1"/>
    <col min="3583" max="3583" width="16.125" style="3" customWidth="1"/>
    <col min="3584" max="3584" width="12.50390625" style="3" customWidth="1"/>
    <col min="3585" max="3585" width="16.50390625" style="3" customWidth="1"/>
    <col min="3586" max="3586" width="16.875" style="3" bestFit="1" customWidth="1"/>
    <col min="3587" max="3587" width="13.00390625" style="3" customWidth="1"/>
    <col min="3588" max="3835" width="9.00390625" style="3" customWidth="1"/>
    <col min="3836" max="3836" width="11.375" style="3" customWidth="1"/>
    <col min="3837" max="3837" width="13.125" style="3" customWidth="1"/>
    <col min="3838" max="3838" width="16.50390625" style="3" customWidth="1"/>
    <col min="3839" max="3839" width="16.125" style="3" customWidth="1"/>
    <col min="3840" max="3840" width="12.50390625" style="3" customWidth="1"/>
    <col min="3841" max="3841" width="16.50390625" style="3" customWidth="1"/>
    <col min="3842" max="3842" width="16.875" style="3" bestFit="1" customWidth="1"/>
    <col min="3843" max="3843" width="13.00390625" style="3" customWidth="1"/>
    <col min="3844" max="4091" width="9.00390625" style="3" customWidth="1"/>
    <col min="4092" max="4092" width="11.375" style="3" customWidth="1"/>
    <col min="4093" max="4093" width="13.125" style="3" customWidth="1"/>
    <col min="4094" max="4094" width="16.50390625" style="3" customWidth="1"/>
    <col min="4095" max="4095" width="16.125" style="3" customWidth="1"/>
    <col min="4096" max="4096" width="12.50390625" style="3" customWidth="1"/>
    <col min="4097" max="4097" width="16.50390625" style="3" customWidth="1"/>
    <col min="4098" max="4098" width="16.875" style="3" bestFit="1" customWidth="1"/>
    <col min="4099" max="4099" width="13.00390625" style="3" customWidth="1"/>
    <col min="4100" max="4347" width="9.00390625" style="3" customWidth="1"/>
    <col min="4348" max="4348" width="11.375" style="3" customWidth="1"/>
    <col min="4349" max="4349" width="13.125" style="3" customWidth="1"/>
    <col min="4350" max="4350" width="16.50390625" style="3" customWidth="1"/>
    <col min="4351" max="4351" width="16.125" style="3" customWidth="1"/>
    <col min="4352" max="4352" width="12.50390625" style="3" customWidth="1"/>
    <col min="4353" max="4353" width="16.50390625" style="3" customWidth="1"/>
    <col min="4354" max="4354" width="16.875" style="3" bestFit="1" customWidth="1"/>
    <col min="4355" max="4355" width="13.00390625" style="3" customWidth="1"/>
    <col min="4356" max="4603" width="9.00390625" style="3" customWidth="1"/>
    <col min="4604" max="4604" width="11.375" style="3" customWidth="1"/>
    <col min="4605" max="4605" width="13.125" style="3" customWidth="1"/>
    <col min="4606" max="4606" width="16.50390625" style="3" customWidth="1"/>
    <col min="4607" max="4607" width="16.125" style="3" customWidth="1"/>
    <col min="4608" max="4608" width="12.50390625" style="3" customWidth="1"/>
    <col min="4609" max="4609" width="16.50390625" style="3" customWidth="1"/>
    <col min="4610" max="4610" width="16.875" style="3" bestFit="1" customWidth="1"/>
    <col min="4611" max="4611" width="13.00390625" style="3" customWidth="1"/>
    <col min="4612" max="4859" width="9.00390625" style="3" customWidth="1"/>
    <col min="4860" max="4860" width="11.375" style="3" customWidth="1"/>
    <col min="4861" max="4861" width="13.125" style="3" customWidth="1"/>
    <col min="4862" max="4862" width="16.50390625" style="3" customWidth="1"/>
    <col min="4863" max="4863" width="16.125" style="3" customWidth="1"/>
    <col min="4864" max="4864" width="12.50390625" style="3" customWidth="1"/>
    <col min="4865" max="4865" width="16.50390625" style="3" customWidth="1"/>
    <col min="4866" max="4866" width="16.875" style="3" bestFit="1" customWidth="1"/>
    <col min="4867" max="4867" width="13.00390625" style="3" customWidth="1"/>
    <col min="4868" max="5115" width="9.00390625" style="3" customWidth="1"/>
    <col min="5116" max="5116" width="11.375" style="3" customWidth="1"/>
    <col min="5117" max="5117" width="13.125" style="3" customWidth="1"/>
    <col min="5118" max="5118" width="16.50390625" style="3" customWidth="1"/>
    <col min="5119" max="5119" width="16.125" style="3" customWidth="1"/>
    <col min="5120" max="5120" width="12.50390625" style="3" customWidth="1"/>
    <col min="5121" max="5121" width="16.50390625" style="3" customWidth="1"/>
    <col min="5122" max="5122" width="16.875" style="3" bestFit="1" customWidth="1"/>
    <col min="5123" max="5123" width="13.00390625" style="3" customWidth="1"/>
    <col min="5124" max="5371" width="9.00390625" style="3" customWidth="1"/>
    <col min="5372" max="5372" width="11.375" style="3" customWidth="1"/>
    <col min="5373" max="5373" width="13.125" style="3" customWidth="1"/>
    <col min="5374" max="5374" width="16.50390625" style="3" customWidth="1"/>
    <col min="5375" max="5375" width="16.125" style="3" customWidth="1"/>
    <col min="5376" max="5376" width="12.50390625" style="3" customWidth="1"/>
    <col min="5377" max="5377" width="16.50390625" style="3" customWidth="1"/>
    <col min="5378" max="5378" width="16.875" style="3" bestFit="1" customWidth="1"/>
    <col min="5379" max="5379" width="13.00390625" style="3" customWidth="1"/>
    <col min="5380" max="5627" width="9.00390625" style="3" customWidth="1"/>
    <col min="5628" max="5628" width="11.375" style="3" customWidth="1"/>
    <col min="5629" max="5629" width="13.125" style="3" customWidth="1"/>
    <col min="5630" max="5630" width="16.50390625" style="3" customWidth="1"/>
    <col min="5631" max="5631" width="16.125" style="3" customWidth="1"/>
    <col min="5632" max="5632" width="12.50390625" style="3" customWidth="1"/>
    <col min="5633" max="5633" width="16.50390625" style="3" customWidth="1"/>
    <col min="5634" max="5634" width="16.875" style="3" bestFit="1" customWidth="1"/>
    <col min="5635" max="5635" width="13.00390625" style="3" customWidth="1"/>
    <col min="5636" max="5883" width="9.00390625" style="3" customWidth="1"/>
    <col min="5884" max="5884" width="11.375" style="3" customWidth="1"/>
    <col min="5885" max="5885" width="13.125" style="3" customWidth="1"/>
    <col min="5886" max="5886" width="16.50390625" style="3" customWidth="1"/>
    <col min="5887" max="5887" width="16.125" style="3" customWidth="1"/>
    <col min="5888" max="5888" width="12.50390625" style="3" customWidth="1"/>
    <col min="5889" max="5889" width="16.50390625" style="3" customWidth="1"/>
    <col min="5890" max="5890" width="16.875" style="3" bestFit="1" customWidth="1"/>
    <col min="5891" max="5891" width="13.00390625" style="3" customWidth="1"/>
    <col min="5892" max="6139" width="9.00390625" style="3" customWidth="1"/>
    <col min="6140" max="6140" width="11.375" style="3" customWidth="1"/>
    <col min="6141" max="6141" width="13.125" style="3" customWidth="1"/>
    <col min="6142" max="6142" width="16.50390625" style="3" customWidth="1"/>
    <col min="6143" max="6143" width="16.125" style="3" customWidth="1"/>
    <col min="6144" max="6144" width="12.50390625" style="3" customWidth="1"/>
    <col min="6145" max="6145" width="16.50390625" style="3" customWidth="1"/>
    <col min="6146" max="6146" width="16.875" style="3" bestFit="1" customWidth="1"/>
    <col min="6147" max="6147" width="13.00390625" style="3" customWidth="1"/>
    <col min="6148" max="6395" width="9.00390625" style="3" customWidth="1"/>
    <col min="6396" max="6396" width="11.375" style="3" customWidth="1"/>
    <col min="6397" max="6397" width="13.125" style="3" customWidth="1"/>
    <col min="6398" max="6398" width="16.50390625" style="3" customWidth="1"/>
    <col min="6399" max="6399" width="16.125" style="3" customWidth="1"/>
    <col min="6400" max="6400" width="12.50390625" style="3" customWidth="1"/>
    <col min="6401" max="6401" width="16.50390625" style="3" customWidth="1"/>
    <col min="6402" max="6402" width="16.875" style="3" bestFit="1" customWidth="1"/>
    <col min="6403" max="6403" width="13.00390625" style="3" customWidth="1"/>
    <col min="6404" max="6651" width="9.00390625" style="3" customWidth="1"/>
    <col min="6652" max="6652" width="11.375" style="3" customWidth="1"/>
    <col min="6653" max="6653" width="13.125" style="3" customWidth="1"/>
    <col min="6654" max="6654" width="16.50390625" style="3" customWidth="1"/>
    <col min="6655" max="6655" width="16.125" style="3" customWidth="1"/>
    <col min="6656" max="6656" width="12.50390625" style="3" customWidth="1"/>
    <col min="6657" max="6657" width="16.50390625" style="3" customWidth="1"/>
    <col min="6658" max="6658" width="16.875" style="3" bestFit="1" customWidth="1"/>
    <col min="6659" max="6659" width="13.00390625" style="3" customWidth="1"/>
    <col min="6660" max="6907" width="9.00390625" style="3" customWidth="1"/>
    <col min="6908" max="6908" width="11.375" style="3" customWidth="1"/>
    <col min="6909" max="6909" width="13.125" style="3" customWidth="1"/>
    <col min="6910" max="6910" width="16.50390625" style="3" customWidth="1"/>
    <col min="6911" max="6911" width="16.125" style="3" customWidth="1"/>
    <col min="6912" max="6912" width="12.50390625" style="3" customWidth="1"/>
    <col min="6913" max="6913" width="16.50390625" style="3" customWidth="1"/>
    <col min="6914" max="6914" width="16.875" style="3" bestFit="1" customWidth="1"/>
    <col min="6915" max="6915" width="13.00390625" style="3" customWidth="1"/>
    <col min="6916" max="7163" width="9.00390625" style="3" customWidth="1"/>
    <col min="7164" max="7164" width="11.375" style="3" customWidth="1"/>
    <col min="7165" max="7165" width="13.125" style="3" customWidth="1"/>
    <col min="7166" max="7166" width="16.50390625" style="3" customWidth="1"/>
    <col min="7167" max="7167" width="16.125" style="3" customWidth="1"/>
    <col min="7168" max="7168" width="12.50390625" style="3" customWidth="1"/>
    <col min="7169" max="7169" width="16.50390625" style="3" customWidth="1"/>
    <col min="7170" max="7170" width="16.875" style="3" bestFit="1" customWidth="1"/>
    <col min="7171" max="7171" width="13.00390625" style="3" customWidth="1"/>
    <col min="7172" max="7419" width="9.00390625" style="3" customWidth="1"/>
    <col min="7420" max="7420" width="11.375" style="3" customWidth="1"/>
    <col min="7421" max="7421" width="13.125" style="3" customWidth="1"/>
    <col min="7422" max="7422" width="16.50390625" style="3" customWidth="1"/>
    <col min="7423" max="7423" width="16.125" style="3" customWidth="1"/>
    <col min="7424" max="7424" width="12.50390625" style="3" customWidth="1"/>
    <col min="7425" max="7425" width="16.50390625" style="3" customWidth="1"/>
    <col min="7426" max="7426" width="16.875" style="3" bestFit="1" customWidth="1"/>
    <col min="7427" max="7427" width="13.00390625" style="3" customWidth="1"/>
    <col min="7428" max="7675" width="9.00390625" style="3" customWidth="1"/>
    <col min="7676" max="7676" width="11.375" style="3" customWidth="1"/>
    <col min="7677" max="7677" width="13.125" style="3" customWidth="1"/>
    <col min="7678" max="7678" width="16.50390625" style="3" customWidth="1"/>
    <col min="7679" max="7679" width="16.125" style="3" customWidth="1"/>
    <col min="7680" max="7680" width="12.50390625" style="3" customWidth="1"/>
    <col min="7681" max="7681" width="16.50390625" style="3" customWidth="1"/>
    <col min="7682" max="7682" width="16.875" style="3" bestFit="1" customWidth="1"/>
    <col min="7683" max="7683" width="13.00390625" style="3" customWidth="1"/>
    <col min="7684" max="7931" width="9.00390625" style="3" customWidth="1"/>
    <col min="7932" max="7932" width="11.375" style="3" customWidth="1"/>
    <col min="7933" max="7933" width="13.125" style="3" customWidth="1"/>
    <col min="7934" max="7934" width="16.50390625" style="3" customWidth="1"/>
    <col min="7935" max="7935" width="16.125" style="3" customWidth="1"/>
    <col min="7936" max="7936" width="12.50390625" style="3" customWidth="1"/>
    <col min="7937" max="7937" width="16.50390625" style="3" customWidth="1"/>
    <col min="7938" max="7938" width="16.875" style="3" bestFit="1" customWidth="1"/>
    <col min="7939" max="7939" width="13.00390625" style="3" customWidth="1"/>
    <col min="7940" max="8187" width="9.00390625" style="3" customWidth="1"/>
    <col min="8188" max="8188" width="11.375" style="3" customWidth="1"/>
    <col min="8189" max="8189" width="13.125" style="3" customWidth="1"/>
    <col min="8190" max="8190" width="16.50390625" style="3" customWidth="1"/>
    <col min="8191" max="8191" width="16.125" style="3" customWidth="1"/>
    <col min="8192" max="8192" width="12.50390625" style="3" customWidth="1"/>
    <col min="8193" max="8193" width="16.50390625" style="3" customWidth="1"/>
    <col min="8194" max="8194" width="16.875" style="3" bestFit="1" customWidth="1"/>
    <col min="8195" max="8195" width="13.00390625" style="3" customWidth="1"/>
    <col min="8196" max="8443" width="9.00390625" style="3" customWidth="1"/>
    <col min="8444" max="8444" width="11.375" style="3" customWidth="1"/>
    <col min="8445" max="8445" width="13.125" style="3" customWidth="1"/>
    <col min="8446" max="8446" width="16.50390625" style="3" customWidth="1"/>
    <col min="8447" max="8447" width="16.125" style="3" customWidth="1"/>
    <col min="8448" max="8448" width="12.50390625" style="3" customWidth="1"/>
    <col min="8449" max="8449" width="16.50390625" style="3" customWidth="1"/>
    <col min="8450" max="8450" width="16.875" style="3" bestFit="1" customWidth="1"/>
    <col min="8451" max="8451" width="13.00390625" style="3" customWidth="1"/>
    <col min="8452" max="8699" width="9.00390625" style="3" customWidth="1"/>
    <col min="8700" max="8700" width="11.375" style="3" customWidth="1"/>
    <col min="8701" max="8701" width="13.125" style="3" customWidth="1"/>
    <col min="8702" max="8702" width="16.50390625" style="3" customWidth="1"/>
    <col min="8703" max="8703" width="16.125" style="3" customWidth="1"/>
    <col min="8704" max="8704" width="12.50390625" style="3" customWidth="1"/>
    <col min="8705" max="8705" width="16.50390625" style="3" customWidth="1"/>
    <col min="8706" max="8706" width="16.875" style="3" bestFit="1" customWidth="1"/>
    <col min="8707" max="8707" width="13.00390625" style="3" customWidth="1"/>
    <col min="8708" max="8955" width="9.00390625" style="3" customWidth="1"/>
    <col min="8956" max="8956" width="11.375" style="3" customWidth="1"/>
    <col min="8957" max="8957" width="13.125" style="3" customWidth="1"/>
    <col min="8958" max="8958" width="16.50390625" style="3" customWidth="1"/>
    <col min="8959" max="8959" width="16.125" style="3" customWidth="1"/>
    <col min="8960" max="8960" width="12.50390625" style="3" customWidth="1"/>
    <col min="8961" max="8961" width="16.50390625" style="3" customWidth="1"/>
    <col min="8962" max="8962" width="16.875" style="3" bestFit="1" customWidth="1"/>
    <col min="8963" max="8963" width="13.00390625" style="3" customWidth="1"/>
    <col min="8964" max="9211" width="9.00390625" style="3" customWidth="1"/>
    <col min="9212" max="9212" width="11.375" style="3" customWidth="1"/>
    <col min="9213" max="9213" width="13.125" style="3" customWidth="1"/>
    <col min="9214" max="9214" width="16.50390625" style="3" customWidth="1"/>
    <col min="9215" max="9215" width="16.125" style="3" customWidth="1"/>
    <col min="9216" max="9216" width="12.50390625" style="3" customWidth="1"/>
    <col min="9217" max="9217" width="16.50390625" style="3" customWidth="1"/>
    <col min="9218" max="9218" width="16.875" style="3" bestFit="1" customWidth="1"/>
    <col min="9219" max="9219" width="13.00390625" style="3" customWidth="1"/>
    <col min="9220" max="9467" width="9.00390625" style="3" customWidth="1"/>
    <col min="9468" max="9468" width="11.375" style="3" customWidth="1"/>
    <col min="9469" max="9469" width="13.125" style="3" customWidth="1"/>
    <col min="9470" max="9470" width="16.50390625" style="3" customWidth="1"/>
    <col min="9471" max="9471" width="16.125" style="3" customWidth="1"/>
    <col min="9472" max="9472" width="12.50390625" style="3" customWidth="1"/>
    <col min="9473" max="9473" width="16.50390625" style="3" customWidth="1"/>
    <col min="9474" max="9474" width="16.875" style="3" bestFit="1" customWidth="1"/>
    <col min="9475" max="9475" width="13.00390625" style="3" customWidth="1"/>
    <col min="9476" max="9723" width="9.00390625" style="3" customWidth="1"/>
    <col min="9724" max="9724" width="11.375" style="3" customWidth="1"/>
    <col min="9725" max="9725" width="13.125" style="3" customWidth="1"/>
    <col min="9726" max="9726" width="16.50390625" style="3" customWidth="1"/>
    <col min="9727" max="9727" width="16.125" style="3" customWidth="1"/>
    <col min="9728" max="9728" width="12.50390625" style="3" customWidth="1"/>
    <col min="9729" max="9729" width="16.50390625" style="3" customWidth="1"/>
    <col min="9730" max="9730" width="16.875" style="3" bestFit="1" customWidth="1"/>
    <col min="9731" max="9731" width="13.00390625" style="3" customWidth="1"/>
    <col min="9732" max="9979" width="9.00390625" style="3" customWidth="1"/>
    <col min="9980" max="9980" width="11.375" style="3" customWidth="1"/>
    <col min="9981" max="9981" width="13.125" style="3" customWidth="1"/>
    <col min="9982" max="9982" width="16.50390625" style="3" customWidth="1"/>
    <col min="9983" max="9983" width="16.125" style="3" customWidth="1"/>
    <col min="9984" max="9984" width="12.50390625" style="3" customWidth="1"/>
    <col min="9985" max="9985" width="16.50390625" style="3" customWidth="1"/>
    <col min="9986" max="9986" width="16.875" style="3" bestFit="1" customWidth="1"/>
    <col min="9987" max="9987" width="13.00390625" style="3" customWidth="1"/>
    <col min="9988" max="10235" width="9.00390625" style="3" customWidth="1"/>
    <col min="10236" max="10236" width="11.375" style="3" customWidth="1"/>
    <col min="10237" max="10237" width="13.125" style="3" customWidth="1"/>
    <col min="10238" max="10238" width="16.50390625" style="3" customWidth="1"/>
    <col min="10239" max="10239" width="16.125" style="3" customWidth="1"/>
    <col min="10240" max="10240" width="12.50390625" style="3" customWidth="1"/>
    <col min="10241" max="10241" width="16.50390625" style="3" customWidth="1"/>
    <col min="10242" max="10242" width="16.875" style="3" bestFit="1" customWidth="1"/>
    <col min="10243" max="10243" width="13.00390625" style="3" customWidth="1"/>
    <col min="10244" max="10491" width="9.00390625" style="3" customWidth="1"/>
    <col min="10492" max="10492" width="11.375" style="3" customWidth="1"/>
    <col min="10493" max="10493" width="13.125" style="3" customWidth="1"/>
    <col min="10494" max="10494" width="16.50390625" style="3" customWidth="1"/>
    <col min="10495" max="10495" width="16.125" style="3" customWidth="1"/>
    <col min="10496" max="10496" width="12.50390625" style="3" customWidth="1"/>
    <col min="10497" max="10497" width="16.50390625" style="3" customWidth="1"/>
    <col min="10498" max="10498" width="16.875" style="3" bestFit="1" customWidth="1"/>
    <col min="10499" max="10499" width="13.00390625" style="3" customWidth="1"/>
    <col min="10500" max="10747" width="9.00390625" style="3" customWidth="1"/>
    <col min="10748" max="10748" width="11.375" style="3" customWidth="1"/>
    <col min="10749" max="10749" width="13.125" style="3" customWidth="1"/>
    <col min="10750" max="10750" width="16.50390625" style="3" customWidth="1"/>
    <col min="10751" max="10751" width="16.125" style="3" customWidth="1"/>
    <col min="10752" max="10752" width="12.50390625" style="3" customWidth="1"/>
    <col min="10753" max="10753" width="16.50390625" style="3" customWidth="1"/>
    <col min="10754" max="10754" width="16.875" style="3" bestFit="1" customWidth="1"/>
    <col min="10755" max="10755" width="13.00390625" style="3" customWidth="1"/>
    <col min="10756" max="11003" width="9.00390625" style="3" customWidth="1"/>
    <col min="11004" max="11004" width="11.375" style="3" customWidth="1"/>
    <col min="11005" max="11005" width="13.125" style="3" customWidth="1"/>
    <col min="11006" max="11006" width="16.50390625" style="3" customWidth="1"/>
    <col min="11007" max="11007" width="16.125" style="3" customWidth="1"/>
    <col min="11008" max="11008" width="12.50390625" style="3" customWidth="1"/>
    <col min="11009" max="11009" width="16.50390625" style="3" customWidth="1"/>
    <col min="11010" max="11010" width="16.875" style="3" bestFit="1" customWidth="1"/>
    <col min="11011" max="11011" width="13.00390625" style="3" customWidth="1"/>
    <col min="11012" max="11259" width="9.00390625" style="3" customWidth="1"/>
    <col min="11260" max="11260" width="11.375" style="3" customWidth="1"/>
    <col min="11261" max="11261" width="13.125" style="3" customWidth="1"/>
    <col min="11262" max="11262" width="16.50390625" style="3" customWidth="1"/>
    <col min="11263" max="11263" width="16.125" style="3" customWidth="1"/>
    <col min="11264" max="11264" width="12.50390625" style="3" customWidth="1"/>
    <col min="11265" max="11265" width="16.50390625" style="3" customWidth="1"/>
    <col min="11266" max="11266" width="16.875" style="3" bestFit="1" customWidth="1"/>
    <col min="11267" max="11267" width="13.00390625" style="3" customWidth="1"/>
    <col min="11268" max="11515" width="9.00390625" style="3" customWidth="1"/>
    <col min="11516" max="11516" width="11.375" style="3" customWidth="1"/>
    <col min="11517" max="11517" width="13.125" style="3" customWidth="1"/>
    <col min="11518" max="11518" width="16.50390625" style="3" customWidth="1"/>
    <col min="11519" max="11519" width="16.125" style="3" customWidth="1"/>
    <col min="11520" max="11520" width="12.50390625" style="3" customWidth="1"/>
    <col min="11521" max="11521" width="16.50390625" style="3" customWidth="1"/>
    <col min="11522" max="11522" width="16.875" style="3" bestFit="1" customWidth="1"/>
    <col min="11523" max="11523" width="13.00390625" style="3" customWidth="1"/>
    <col min="11524" max="11771" width="9.00390625" style="3" customWidth="1"/>
    <col min="11772" max="11772" width="11.375" style="3" customWidth="1"/>
    <col min="11773" max="11773" width="13.125" style="3" customWidth="1"/>
    <col min="11774" max="11774" width="16.50390625" style="3" customWidth="1"/>
    <col min="11775" max="11775" width="16.125" style="3" customWidth="1"/>
    <col min="11776" max="11776" width="12.50390625" style="3" customWidth="1"/>
    <col min="11777" max="11777" width="16.50390625" style="3" customWidth="1"/>
    <col min="11778" max="11778" width="16.875" style="3" bestFit="1" customWidth="1"/>
    <col min="11779" max="11779" width="13.00390625" style="3" customWidth="1"/>
    <col min="11780" max="12027" width="9.00390625" style="3" customWidth="1"/>
    <col min="12028" max="12028" width="11.375" style="3" customWidth="1"/>
    <col min="12029" max="12029" width="13.125" style="3" customWidth="1"/>
    <col min="12030" max="12030" width="16.50390625" style="3" customWidth="1"/>
    <col min="12031" max="12031" width="16.125" style="3" customWidth="1"/>
    <col min="12032" max="12032" width="12.50390625" style="3" customWidth="1"/>
    <col min="12033" max="12033" width="16.50390625" style="3" customWidth="1"/>
    <col min="12034" max="12034" width="16.875" style="3" bestFit="1" customWidth="1"/>
    <col min="12035" max="12035" width="13.00390625" style="3" customWidth="1"/>
    <col min="12036" max="12283" width="9.00390625" style="3" customWidth="1"/>
    <col min="12284" max="12284" width="11.375" style="3" customWidth="1"/>
    <col min="12285" max="12285" width="13.125" style="3" customWidth="1"/>
    <col min="12286" max="12286" width="16.50390625" style="3" customWidth="1"/>
    <col min="12287" max="12287" width="16.125" style="3" customWidth="1"/>
    <col min="12288" max="12288" width="12.50390625" style="3" customWidth="1"/>
    <col min="12289" max="12289" width="16.50390625" style="3" customWidth="1"/>
    <col min="12290" max="12290" width="16.875" style="3" bestFit="1" customWidth="1"/>
    <col min="12291" max="12291" width="13.00390625" style="3" customWidth="1"/>
    <col min="12292" max="12539" width="9.00390625" style="3" customWidth="1"/>
    <col min="12540" max="12540" width="11.375" style="3" customWidth="1"/>
    <col min="12541" max="12541" width="13.125" style="3" customWidth="1"/>
    <col min="12542" max="12542" width="16.50390625" style="3" customWidth="1"/>
    <col min="12543" max="12543" width="16.125" style="3" customWidth="1"/>
    <col min="12544" max="12544" width="12.50390625" style="3" customWidth="1"/>
    <col min="12545" max="12545" width="16.50390625" style="3" customWidth="1"/>
    <col min="12546" max="12546" width="16.875" style="3" bestFit="1" customWidth="1"/>
    <col min="12547" max="12547" width="13.00390625" style="3" customWidth="1"/>
    <col min="12548" max="12795" width="9.00390625" style="3" customWidth="1"/>
    <col min="12796" max="12796" width="11.375" style="3" customWidth="1"/>
    <col min="12797" max="12797" width="13.125" style="3" customWidth="1"/>
    <col min="12798" max="12798" width="16.50390625" style="3" customWidth="1"/>
    <col min="12799" max="12799" width="16.125" style="3" customWidth="1"/>
    <col min="12800" max="12800" width="12.50390625" style="3" customWidth="1"/>
    <col min="12801" max="12801" width="16.50390625" style="3" customWidth="1"/>
    <col min="12802" max="12802" width="16.875" style="3" bestFit="1" customWidth="1"/>
    <col min="12803" max="12803" width="13.00390625" style="3" customWidth="1"/>
    <col min="12804" max="13051" width="9.00390625" style="3" customWidth="1"/>
    <col min="13052" max="13052" width="11.375" style="3" customWidth="1"/>
    <col min="13053" max="13053" width="13.125" style="3" customWidth="1"/>
    <col min="13054" max="13054" width="16.50390625" style="3" customWidth="1"/>
    <col min="13055" max="13055" width="16.125" style="3" customWidth="1"/>
    <col min="13056" max="13056" width="12.50390625" style="3" customWidth="1"/>
    <col min="13057" max="13057" width="16.50390625" style="3" customWidth="1"/>
    <col min="13058" max="13058" width="16.875" style="3" bestFit="1" customWidth="1"/>
    <col min="13059" max="13059" width="13.00390625" style="3" customWidth="1"/>
    <col min="13060" max="13307" width="9.00390625" style="3" customWidth="1"/>
    <col min="13308" max="13308" width="11.375" style="3" customWidth="1"/>
    <col min="13309" max="13309" width="13.125" style="3" customWidth="1"/>
    <col min="13310" max="13310" width="16.50390625" style="3" customWidth="1"/>
    <col min="13311" max="13311" width="16.125" style="3" customWidth="1"/>
    <col min="13312" max="13312" width="12.50390625" style="3" customWidth="1"/>
    <col min="13313" max="13313" width="16.50390625" style="3" customWidth="1"/>
    <col min="13314" max="13314" width="16.875" style="3" bestFit="1" customWidth="1"/>
    <col min="13315" max="13315" width="13.00390625" style="3" customWidth="1"/>
    <col min="13316" max="13563" width="9.00390625" style="3" customWidth="1"/>
    <col min="13564" max="13564" width="11.375" style="3" customWidth="1"/>
    <col min="13565" max="13565" width="13.125" style="3" customWidth="1"/>
    <col min="13566" max="13566" width="16.50390625" style="3" customWidth="1"/>
    <col min="13567" max="13567" width="16.125" style="3" customWidth="1"/>
    <col min="13568" max="13568" width="12.50390625" style="3" customWidth="1"/>
    <col min="13569" max="13569" width="16.50390625" style="3" customWidth="1"/>
    <col min="13570" max="13570" width="16.875" style="3" bestFit="1" customWidth="1"/>
    <col min="13571" max="13571" width="13.00390625" style="3" customWidth="1"/>
    <col min="13572" max="13819" width="9.00390625" style="3" customWidth="1"/>
    <col min="13820" max="13820" width="11.375" style="3" customWidth="1"/>
    <col min="13821" max="13821" width="13.125" style="3" customWidth="1"/>
    <col min="13822" max="13822" width="16.50390625" style="3" customWidth="1"/>
    <col min="13823" max="13823" width="16.125" style="3" customWidth="1"/>
    <col min="13824" max="13824" width="12.50390625" style="3" customWidth="1"/>
    <col min="13825" max="13825" width="16.50390625" style="3" customWidth="1"/>
    <col min="13826" max="13826" width="16.875" style="3" bestFit="1" customWidth="1"/>
    <col min="13827" max="13827" width="13.00390625" style="3" customWidth="1"/>
    <col min="13828" max="14075" width="9.00390625" style="3" customWidth="1"/>
    <col min="14076" max="14076" width="11.375" style="3" customWidth="1"/>
    <col min="14077" max="14077" width="13.125" style="3" customWidth="1"/>
    <col min="14078" max="14078" width="16.50390625" style="3" customWidth="1"/>
    <col min="14079" max="14079" width="16.125" style="3" customWidth="1"/>
    <col min="14080" max="14080" width="12.50390625" style="3" customWidth="1"/>
    <col min="14081" max="14081" width="16.50390625" style="3" customWidth="1"/>
    <col min="14082" max="14082" width="16.875" style="3" bestFit="1" customWidth="1"/>
    <col min="14083" max="14083" width="13.00390625" style="3" customWidth="1"/>
    <col min="14084" max="14331" width="9.00390625" style="3" customWidth="1"/>
    <col min="14332" max="14332" width="11.375" style="3" customWidth="1"/>
    <col min="14333" max="14333" width="13.125" style="3" customWidth="1"/>
    <col min="14334" max="14334" width="16.50390625" style="3" customWidth="1"/>
    <col min="14335" max="14335" width="16.125" style="3" customWidth="1"/>
    <col min="14336" max="14336" width="12.50390625" style="3" customWidth="1"/>
    <col min="14337" max="14337" width="16.50390625" style="3" customWidth="1"/>
    <col min="14338" max="14338" width="16.875" style="3" bestFit="1" customWidth="1"/>
    <col min="14339" max="14339" width="13.00390625" style="3" customWidth="1"/>
    <col min="14340" max="14587" width="9.00390625" style="3" customWidth="1"/>
    <col min="14588" max="14588" width="11.375" style="3" customWidth="1"/>
    <col min="14589" max="14589" width="13.125" style="3" customWidth="1"/>
    <col min="14590" max="14590" width="16.50390625" style="3" customWidth="1"/>
    <col min="14591" max="14591" width="16.125" style="3" customWidth="1"/>
    <col min="14592" max="14592" width="12.50390625" style="3" customWidth="1"/>
    <col min="14593" max="14593" width="16.50390625" style="3" customWidth="1"/>
    <col min="14594" max="14594" width="16.875" style="3" bestFit="1" customWidth="1"/>
    <col min="14595" max="14595" width="13.00390625" style="3" customWidth="1"/>
    <col min="14596" max="14843" width="9.00390625" style="3" customWidth="1"/>
    <col min="14844" max="14844" width="11.375" style="3" customWidth="1"/>
    <col min="14845" max="14845" width="13.125" style="3" customWidth="1"/>
    <col min="14846" max="14846" width="16.50390625" style="3" customWidth="1"/>
    <col min="14847" max="14847" width="16.125" style="3" customWidth="1"/>
    <col min="14848" max="14848" width="12.50390625" style="3" customWidth="1"/>
    <col min="14849" max="14849" width="16.50390625" style="3" customWidth="1"/>
    <col min="14850" max="14850" width="16.875" style="3" bestFit="1" customWidth="1"/>
    <col min="14851" max="14851" width="13.00390625" style="3" customWidth="1"/>
    <col min="14852" max="15099" width="9.00390625" style="3" customWidth="1"/>
    <col min="15100" max="15100" width="11.375" style="3" customWidth="1"/>
    <col min="15101" max="15101" width="13.125" style="3" customWidth="1"/>
    <col min="15102" max="15102" width="16.50390625" style="3" customWidth="1"/>
    <col min="15103" max="15103" width="16.125" style="3" customWidth="1"/>
    <col min="15104" max="15104" width="12.50390625" style="3" customWidth="1"/>
    <col min="15105" max="15105" width="16.50390625" style="3" customWidth="1"/>
    <col min="15106" max="15106" width="16.875" style="3" bestFit="1" customWidth="1"/>
    <col min="15107" max="15107" width="13.00390625" style="3" customWidth="1"/>
    <col min="15108" max="15355" width="9.00390625" style="3" customWidth="1"/>
    <col min="15356" max="15356" width="11.375" style="3" customWidth="1"/>
    <col min="15357" max="15357" width="13.125" style="3" customWidth="1"/>
    <col min="15358" max="15358" width="16.50390625" style="3" customWidth="1"/>
    <col min="15359" max="15359" width="16.125" style="3" customWidth="1"/>
    <col min="15360" max="15360" width="12.50390625" style="3" customWidth="1"/>
    <col min="15361" max="15361" width="16.50390625" style="3" customWidth="1"/>
    <col min="15362" max="15362" width="16.875" style="3" bestFit="1" customWidth="1"/>
    <col min="15363" max="15363" width="13.00390625" style="3" customWidth="1"/>
    <col min="15364" max="15611" width="9.00390625" style="3" customWidth="1"/>
    <col min="15612" max="15612" width="11.375" style="3" customWidth="1"/>
    <col min="15613" max="15613" width="13.125" style="3" customWidth="1"/>
    <col min="15614" max="15614" width="16.50390625" style="3" customWidth="1"/>
    <col min="15615" max="15615" width="16.125" style="3" customWidth="1"/>
    <col min="15616" max="15616" width="12.50390625" style="3" customWidth="1"/>
    <col min="15617" max="15617" width="16.50390625" style="3" customWidth="1"/>
    <col min="15618" max="15618" width="16.875" style="3" bestFit="1" customWidth="1"/>
    <col min="15619" max="15619" width="13.00390625" style="3" customWidth="1"/>
    <col min="15620" max="15867" width="9.00390625" style="3" customWidth="1"/>
    <col min="15868" max="15868" width="11.375" style="3" customWidth="1"/>
    <col min="15869" max="15869" width="13.125" style="3" customWidth="1"/>
    <col min="15870" max="15870" width="16.50390625" style="3" customWidth="1"/>
    <col min="15871" max="15871" width="16.125" style="3" customWidth="1"/>
    <col min="15872" max="15872" width="12.50390625" style="3" customWidth="1"/>
    <col min="15873" max="15873" width="16.50390625" style="3" customWidth="1"/>
    <col min="15874" max="15874" width="16.875" style="3" bestFit="1" customWidth="1"/>
    <col min="15875" max="15875" width="13.00390625" style="3" customWidth="1"/>
    <col min="15876" max="16123" width="9.00390625" style="3" customWidth="1"/>
    <col min="16124" max="16124" width="11.375" style="3" customWidth="1"/>
    <col min="16125" max="16125" width="13.125" style="3" customWidth="1"/>
    <col min="16126" max="16126" width="16.50390625" style="3" customWidth="1"/>
    <col min="16127" max="16127" width="16.125" style="3" customWidth="1"/>
    <col min="16128" max="16128" width="12.50390625" style="3" customWidth="1"/>
    <col min="16129" max="16129" width="16.50390625" style="3" customWidth="1"/>
    <col min="16130" max="16130" width="16.875" style="3" bestFit="1" customWidth="1"/>
    <col min="16131" max="16131" width="13.00390625" style="3" customWidth="1"/>
    <col min="16132" max="16384" width="9.00390625" style="3" customWidth="1"/>
  </cols>
  <sheetData>
    <row r="1" spans="1:8" ht="26.25" customHeight="1">
      <c r="A1" s="1180" t="s">
        <v>685</v>
      </c>
      <c r="B1" s="1180"/>
      <c r="C1" s="1180"/>
      <c r="D1" s="1180"/>
      <c r="E1" s="1180"/>
      <c r="F1" s="1180"/>
      <c r="G1" s="1180"/>
      <c r="H1" s="1180"/>
    </row>
    <row r="2" spans="1:8" ht="12.75" customHeight="1">
      <c r="A2" s="275"/>
      <c r="B2" s="275"/>
      <c r="C2" s="275"/>
      <c r="D2" s="275"/>
      <c r="E2" s="275"/>
      <c r="F2" s="275"/>
      <c r="G2" s="275"/>
      <c r="H2" s="276" t="s">
        <v>697</v>
      </c>
    </row>
    <row r="3" spans="1:8" s="274" customFormat="1" ht="19.5" customHeight="1" thickBot="1">
      <c r="A3" s="277" t="s">
        <v>686</v>
      </c>
      <c r="B3" s="278" t="s">
        <v>687</v>
      </c>
      <c r="C3" s="1181" t="s">
        <v>688</v>
      </c>
      <c r="D3" s="1181"/>
      <c r="E3" s="278" t="s">
        <v>689</v>
      </c>
      <c r="F3" s="278" t="s">
        <v>690</v>
      </c>
      <c r="G3" s="278" t="s">
        <v>691</v>
      </c>
      <c r="H3" s="279" t="s">
        <v>692</v>
      </c>
    </row>
    <row r="4" spans="1:8" s="274" customFormat="1" ht="14.1" customHeight="1" thickTop="1">
      <c r="A4" s="1171" t="s">
        <v>708</v>
      </c>
      <c r="B4" s="1174" t="s">
        <v>906</v>
      </c>
      <c r="C4" s="1183" t="s">
        <v>693</v>
      </c>
      <c r="D4" s="1184"/>
      <c r="E4" s="281">
        <v>663</v>
      </c>
      <c r="F4" s="455">
        <v>32433179000</v>
      </c>
      <c r="G4" s="455">
        <f>F4/E4</f>
        <v>48918822</v>
      </c>
      <c r="H4" s="282"/>
    </row>
    <row r="5" spans="1:8" s="274" customFormat="1" ht="14.1" customHeight="1">
      <c r="A5" s="1172"/>
      <c r="B5" s="1164"/>
      <c r="C5" s="1169" t="s">
        <v>694</v>
      </c>
      <c r="D5" s="281" t="s">
        <v>695</v>
      </c>
      <c r="E5" s="281">
        <v>663</v>
      </c>
      <c r="F5" s="455">
        <v>19770940760</v>
      </c>
      <c r="G5" s="455">
        <f>F5/E5</f>
        <v>29820423</v>
      </c>
      <c r="H5" s="282"/>
    </row>
    <row r="6" spans="1:8" s="274" customFormat="1" ht="14.1" customHeight="1">
      <c r="A6" s="1172"/>
      <c r="B6" s="1164"/>
      <c r="C6" s="1164"/>
      <c r="D6" s="281" t="s">
        <v>696</v>
      </c>
      <c r="E6" s="281"/>
      <c r="F6" s="654">
        <v>823210000</v>
      </c>
      <c r="G6" s="455"/>
      <c r="H6" s="282"/>
    </row>
    <row r="7" spans="1:8" s="274" customFormat="1" ht="14.1" customHeight="1">
      <c r="A7" s="1172"/>
      <c r="B7" s="1164"/>
      <c r="C7" s="1164"/>
      <c r="D7" s="281" t="s">
        <v>699</v>
      </c>
      <c r="E7" s="281"/>
      <c r="F7" s="654">
        <v>1650674000</v>
      </c>
      <c r="G7" s="455"/>
      <c r="H7" s="282"/>
    </row>
    <row r="8" spans="1:8" s="274" customFormat="1" ht="14.1" customHeight="1">
      <c r="A8" s="1172"/>
      <c r="B8" s="1164"/>
      <c r="C8" s="1164"/>
      <c r="D8" s="281" t="s">
        <v>700</v>
      </c>
      <c r="E8" s="281"/>
      <c r="F8" s="654">
        <v>3374380000</v>
      </c>
      <c r="G8" s="455"/>
      <c r="H8" s="282"/>
    </row>
    <row r="9" spans="1:8" s="274" customFormat="1" ht="14.1" customHeight="1">
      <c r="A9" s="1172"/>
      <c r="B9" s="1164"/>
      <c r="C9" s="1165"/>
      <c r="D9" s="281" t="s">
        <v>701</v>
      </c>
      <c r="E9" s="281"/>
      <c r="F9" s="654">
        <v>284272000</v>
      </c>
      <c r="G9" s="455"/>
      <c r="H9" s="282"/>
    </row>
    <row r="10" spans="1:8" s="274" customFormat="1" ht="14.1" customHeight="1">
      <c r="A10" s="1172"/>
      <c r="B10" s="1164"/>
      <c r="C10" s="1169" t="s">
        <v>901</v>
      </c>
      <c r="D10" s="454" t="s">
        <v>786</v>
      </c>
      <c r="E10" s="454"/>
      <c r="F10" s="654">
        <f>2923271000-F11-F12+10582000</f>
        <v>2840573800</v>
      </c>
      <c r="G10" s="455"/>
      <c r="H10" s="282"/>
    </row>
    <row r="11" spans="1:8" s="274" customFormat="1" ht="14.1" customHeight="1">
      <c r="A11" s="1172"/>
      <c r="B11" s="1164"/>
      <c r="C11" s="1164"/>
      <c r="D11" s="453" t="s">
        <v>787</v>
      </c>
      <c r="E11" s="281"/>
      <c r="F11" s="654">
        <v>83279200</v>
      </c>
      <c r="G11" s="455"/>
      <c r="H11" s="282"/>
    </row>
    <row r="12" spans="1:8" s="274" customFormat="1" ht="14.1" customHeight="1">
      <c r="A12" s="1172"/>
      <c r="B12" s="1164"/>
      <c r="C12" s="1164"/>
      <c r="D12" s="453" t="s">
        <v>788</v>
      </c>
      <c r="E12" s="454"/>
      <c r="F12" s="654">
        <v>10000000</v>
      </c>
      <c r="G12" s="455"/>
      <c r="H12" s="282"/>
    </row>
    <row r="13" spans="1:8" s="274" customFormat="1" ht="14.1" customHeight="1">
      <c r="A13" s="1172"/>
      <c r="B13" s="1164"/>
      <c r="C13" s="1165"/>
      <c r="D13" s="453" t="s">
        <v>789</v>
      </c>
      <c r="E13" s="454"/>
      <c r="F13" s="654">
        <v>40000000</v>
      </c>
      <c r="G13" s="455"/>
      <c r="H13" s="282"/>
    </row>
    <row r="14" spans="1:8" s="274" customFormat="1" ht="14.1" customHeight="1">
      <c r="A14" s="1172"/>
      <c r="B14" s="1164"/>
      <c r="C14" s="1169" t="s">
        <v>704</v>
      </c>
      <c r="D14" s="453" t="s">
        <v>790</v>
      </c>
      <c r="E14" s="454"/>
      <c r="F14" s="654">
        <v>523685000</v>
      </c>
      <c r="G14" s="455"/>
      <c r="H14" s="282"/>
    </row>
    <row r="15" spans="1:8" s="274" customFormat="1" ht="14.1" customHeight="1">
      <c r="A15" s="1172"/>
      <c r="B15" s="1164"/>
      <c r="C15" s="1165"/>
      <c r="D15" s="453" t="s">
        <v>791</v>
      </c>
      <c r="E15" s="454"/>
      <c r="F15" s="654">
        <v>289554000</v>
      </c>
      <c r="G15" s="455"/>
      <c r="H15" s="282"/>
    </row>
    <row r="16" spans="1:8" s="274" customFormat="1" ht="14.1" customHeight="1">
      <c r="A16" s="1172"/>
      <c r="B16" s="1165"/>
      <c r="C16" s="1182" t="s">
        <v>706</v>
      </c>
      <c r="D16" s="1178"/>
      <c r="E16" s="462"/>
      <c r="F16" s="463">
        <f>SUM(F4:F15)</f>
        <v>62123747760</v>
      </c>
      <c r="G16" s="455"/>
      <c r="H16" s="282"/>
    </row>
    <row r="17" spans="1:8" s="274" customFormat="1" ht="14.1" customHeight="1">
      <c r="A17" s="1172"/>
      <c r="B17" s="481" t="s">
        <v>767</v>
      </c>
      <c r="C17" s="1167" t="s">
        <v>332</v>
      </c>
      <c r="D17" s="1166"/>
      <c r="E17" s="466">
        <v>1134</v>
      </c>
      <c r="F17" s="456">
        <v>11896540000</v>
      </c>
      <c r="G17" s="456"/>
      <c r="H17" s="437"/>
    </row>
    <row r="18" spans="1:8" s="274" customFormat="1" ht="14.1" customHeight="1">
      <c r="A18" s="1172"/>
      <c r="B18" s="481" t="s">
        <v>768</v>
      </c>
      <c r="C18" s="1167" t="s">
        <v>907</v>
      </c>
      <c r="D18" s="1166"/>
      <c r="E18" s="436"/>
      <c r="F18" s="456">
        <v>226467200</v>
      </c>
      <c r="G18" s="456"/>
      <c r="H18" s="437"/>
    </row>
    <row r="19" spans="1:8" s="274" customFormat="1" ht="14.1" customHeight="1">
      <c r="A19" s="1172"/>
      <c r="B19" s="461"/>
      <c r="C19" s="1182" t="s">
        <v>792</v>
      </c>
      <c r="D19" s="1178"/>
      <c r="E19" s="464"/>
      <c r="F19" s="465">
        <f>SUM(F17:F18)</f>
        <v>12123007200</v>
      </c>
      <c r="G19" s="456"/>
      <c r="H19" s="437"/>
    </row>
    <row r="20" spans="1:8" s="494" customFormat="1" ht="14.1" customHeight="1">
      <c r="A20" s="1172"/>
      <c r="B20" s="1167" t="s">
        <v>769</v>
      </c>
      <c r="C20" s="1170"/>
      <c r="D20" s="1166"/>
      <c r="E20" s="410"/>
      <c r="F20" s="463">
        <v>4280296408</v>
      </c>
      <c r="G20" s="492"/>
      <c r="H20" s="493"/>
    </row>
    <row r="21" spans="1:8" s="494" customFormat="1" ht="14.1" customHeight="1">
      <c r="A21" s="1173"/>
      <c r="B21" s="1167" t="s">
        <v>766</v>
      </c>
      <c r="C21" s="1170"/>
      <c r="D21" s="1166"/>
      <c r="E21" s="410"/>
      <c r="F21" s="463">
        <v>514913000</v>
      </c>
      <c r="G21" s="492"/>
      <c r="H21" s="493"/>
    </row>
    <row r="22" spans="1:8" s="274" customFormat="1" ht="14.1" customHeight="1">
      <c r="A22" s="1168" t="s">
        <v>707</v>
      </c>
      <c r="B22" s="1162"/>
      <c r="C22" s="1162"/>
      <c r="D22" s="1162"/>
      <c r="E22" s="283"/>
      <c r="F22" s="457">
        <f>F16+F19+F20+F21</f>
        <v>79041964368</v>
      </c>
      <c r="G22" s="457"/>
      <c r="H22" s="284"/>
    </row>
    <row r="23" spans="1:8" s="274" customFormat="1" ht="14.1" customHeight="1">
      <c r="A23" s="1175" t="s">
        <v>698</v>
      </c>
      <c r="B23" s="1163" t="s">
        <v>770</v>
      </c>
      <c r="C23" s="1159" t="s">
        <v>693</v>
      </c>
      <c r="D23" s="1160"/>
      <c r="E23" s="411">
        <v>277</v>
      </c>
      <c r="F23" s="458">
        <v>8718626920</v>
      </c>
      <c r="G23" s="458">
        <f>F23/E23</f>
        <v>31475187</v>
      </c>
      <c r="H23" s="280"/>
    </row>
    <row r="24" spans="1:8" s="274" customFormat="1" ht="14.1" customHeight="1">
      <c r="A24" s="1176"/>
      <c r="B24" s="1164"/>
      <c r="C24" s="1166" t="s">
        <v>694</v>
      </c>
      <c r="D24" s="410" t="s">
        <v>695</v>
      </c>
      <c r="E24" s="410">
        <v>277</v>
      </c>
      <c r="F24" s="455">
        <v>8109310000</v>
      </c>
      <c r="G24" s="455">
        <f>F24/E24</f>
        <v>29275487</v>
      </c>
      <c r="H24" s="282"/>
    </row>
    <row r="25" spans="1:8" s="274" customFormat="1" ht="14.1" customHeight="1">
      <c r="A25" s="1176"/>
      <c r="B25" s="1164"/>
      <c r="C25" s="1166"/>
      <c r="D25" s="481" t="s">
        <v>903</v>
      </c>
      <c r="E25" s="410"/>
      <c r="F25" s="455">
        <v>806853801</v>
      </c>
      <c r="G25" s="455"/>
      <c r="H25" s="282"/>
    </row>
    <row r="26" spans="1:8" s="274" customFormat="1" ht="14.1" customHeight="1">
      <c r="A26" s="1176"/>
      <c r="B26" s="1164"/>
      <c r="C26" s="480" t="s">
        <v>702</v>
      </c>
      <c r="D26" s="410" t="s">
        <v>703</v>
      </c>
      <c r="E26" s="410"/>
      <c r="F26" s="455">
        <v>124404199</v>
      </c>
      <c r="G26" s="455"/>
      <c r="H26" s="282"/>
    </row>
    <row r="27" spans="1:8" s="274" customFormat="1" ht="14.1" customHeight="1">
      <c r="A27" s="1176"/>
      <c r="B27" s="1164"/>
      <c r="C27" s="1169" t="s">
        <v>704</v>
      </c>
      <c r="D27" s="480" t="s">
        <v>705</v>
      </c>
      <c r="E27" s="410"/>
      <c r="F27" s="455">
        <v>194159000</v>
      </c>
      <c r="G27" s="455"/>
      <c r="H27" s="282"/>
    </row>
    <row r="28" spans="1:8" s="274" customFormat="1" ht="14.1" customHeight="1">
      <c r="A28" s="1176"/>
      <c r="B28" s="1164"/>
      <c r="C28" s="1165"/>
      <c r="D28" s="480" t="s">
        <v>902</v>
      </c>
      <c r="E28" s="481"/>
      <c r="F28" s="455">
        <v>145325000</v>
      </c>
      <c r="G28" s="455"/>
      <c r="H28" s="282"/>
    </row>
    <row r="29" spans="1:8" s="274" customFormat="1" ht="14.1" customHeight="1">
      <c r="A29" s="1176"/>
      <c r="B29" s="1165"/>
      <c r="C29" s="1177" t="s">
        <v>905</v>
      </c>
      <c r="D29" s="1178"/>
      <c r="E29" s="462"/>
      <c r="F29" s="463">
        <f>SUM(F23:F28)</f>
        <v>18098678920</v>
      </c>
      <c r="G29" s="455"/>
      <c r="H29" s="282"/>
    </row>
    <row r="30" spans="1:8" s="274" customFormat="1" ht="14.1" customHeight="1">
      <c r="A30" s="1176"/>
      <c r="B30" s="481" t="s">
        <v>771</v>
      </c>
      <c r="C30" s="1179" t="s">
        <v>772</v>
      </c>
      <c r="D30" s="1179"/>
      <c r="E30" s="481"/>
      <c r="F30" s="465">
        <v>1041248000</v>
      </c>
      <c r="G30" s="456"/>
      <c r="H30" s="437"/>
    </row>
    <row r="31" spans="1:8" s="274" customFormat="1" ht="14.1" customHeight="1">
      <c r="A31" s="1176"/>
      <c r="B31" s="1167" t="s">
        <v>769</v>
      </c>
      <c r="C31" s="1170"/>
      <c r="D31" s="1166"/>
      <c r="E31" s="479"/>
      <c r="F31" s="463">
        <v>2025827558</v>
      </c>
      <c r="G31" s="456"/>
      <c r="H31" s="437"/>
    </row>
    <row r="32" spans="1:8" s="274" customFormat="1" ht="14.1" customHeight="1">
      <c r="A32" s="1176"/>
      <c r="B32" s="1167" t="s">
        <v>904</v>
      </c>
      <c r="C32" s="1170"/>
      <c r="D32" s="1166"/>
      <c r="E32" s="481"/>
      <c r="F32" s="463">
        <v>298856662</v>
      </c>
      <c r="G32" s="456"/>
      <c r="H32" s="437"/>
    </row>
    <row r="33" spans="1:8" s="275" customFormat="1" ht="14.1" customHeight="1">
      <c r="A33" s="1161" t="s">
        <v>707</v>
      </c>
      <c r="B33" s="1162"/>
      <c r="C33" s="1162"/>
      <c r="D33" s="1162"/>
      <c r="E33" s="285"/>
      <c r="F33" s="495">
        <f>F29+F30+F31+F32</f>
        <v>21464611140</v>
      </c>
      <c r="G33" s="459"/>
      <c r="H33" s="286"/>
    </row>
  </sheetData>
  <mergeCells count="25">
    <mergeCell ref="B21:D21"/>
    <mergeCell ref="A1:H1"/>
    <mergeCell ref="C3:D3"/>
    <mergeCell ref="C16:D16"/>
    <mergeCell ref="C19:D19"/>
    <mergeCell ref="C5:C9"/>
    <mergeCell ref="C10:C13"/>
    <mergeCell ref="C14:C15"/>
    <mergeCell ref="C4:D4"/>
    <mergeCell ref="C23:D23"/>
    <mergeCell ref="A33:D33"/>
    <mergeCell ref="B23:B29"/>
    <mergeCell ref="C24:C25"/>
    <mergeCell ref="C17:D17"/>
    <mergeCell ref="C18:D18"/>
    <mergeCell ref="A22:D22"/>
    <mergeCell ref="C27:C28"/>
    <mergeCell ref="B31:D31"/>
    <mergeCell ref="B32:D32"/>
    <mergeCell ref="A4:A21"/>
    <mergeCell ref="B4:B16"/>
    <mergeCell ref="A23:A32"/>
    <mergeCell ref="C29:D29"/>
    <mergeCell ref="C30:D30"/>
    <mergeCell ref="B20:D20"/>
  </mergeCells>
  <printOptions/>
  <pageMargins left="0.7086614173228347" right="0.7086614173228347" top="0.3937007874015748" bottom="0.35433070866141736" header="0.31496062992125984" footer="0.1968503937007874"/>
  <pageSetup horizontalDpi="600" verticalDpi="600" orientation="landscape" paperSize="9" r:id="rId1"/>
  <headerFooter>
    <oddHeader>&amp;L&amp;9&lt;별지제2호서식&gt;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E43" sqref="E43"/>
    </sheetView>
  </sheetViews>
  <sheetFormatPr defaultColWidth="9.25390625" defaultRowHeight="27" customHeight="1"/>
  <cols>
    <col min="1" max="1" width="19.50390625" style="69" customWidth="1"/>
    <col min="2" max="2" width="17.75390625" style="10" customWidth="1"/>
    <col min="3" max="3" width="19.00390625" style="10" customWidth="1"/>
    <col min="4" max="4" width="21.25390625" style="10" customWidth="1"/>
    <col min="5" max="5" width="45.25390625" style="10" customWidth="1"/>
    <col min="6" max="16384" width="9.25390625" style="10" customWidth="1"/>
  </cols>
  <sheetData>
    <row r="1" spans="1:5" s="9" customFormat="1" ht="30.75" customHeight="1">
      <c r="A1" s="993" t="s">
        <v>777</v>
      </c>
      <c r="B1" s="994"/>
      <c r="C1" s="994"/>
      <c r="D1" s="994"/>
      <c r="E1" s="994"/>
    </row>
    <row r="2" spans="1:5" s="9" customFormat="1" ht="18" customHeight="1">
      <c r="A2" s="1029" t="s">
        <v>785</v>
      </c>
      <c r="B2" s="1029"/>
      <c r="C2" s="1029"/>
      <c r="D2" s="1029"/>
      <c r="E2" s="1029"/>
    </row>
    <row r="3" spans="1:5" ht="27.75" customHeight="1">
      <c r="A3" s="1030" t="s">
        <v>145</v>
      </c>
      <c r="B3" s="1031"/>
      <c r="C3" s="1031"/>
      <c r="D3" s="1031"/>
      <c r="E3" s="1032"/>
    </row>
    <row r="4" spans="1:5" s="7" customFormat="1" ht="21.75" customHeight="1">
      <c r="A4" s="1033" t="s">
        <v>12</v>
      </c>
      <c r="B4" s="1033"/>
      <c r="C4" s="1033"/>
      <c r="D4" s="1034" t="s">
        <v>14</v>
      </c>
      <c r="E4" s="1188" t="s">
        <v>98</v>
      </c>
    </row>
    <row r="5" spans="1:5" s="8" customFormat="1" ht="17.25" customHeight="1">
      <c r="A5" s="129" t="s">
        <v>13</v>
      </c>
      <c r="B5" s="129" t="s">
        <v>7</v>
      </c>
      <c r="C5" s="129" t="s">
        <v>8</v>
      </c>
      <c r="D5" s="1033"/>
      <c r="E5" s="1189"/>
    </row>
    <row r="6" spans="1:5" s="6" customFormat="1" ht="12" customHeight="1">
      <c r="A6" s="12">
        <v>5100</v>
      </c>
      <c r="B6" s="13"/>
      <c r="C6" s="13"/>
      <c r="D6" s="13"/>
      <c r="E6" s="13"/>
    </row>
    <row r="7" spans="1:5" s="15" customFormat="1" ht="12" customHeight="1">
      <c r="A7" s="451" t="s">
        <v>146</v>
      </c>
      <c r="B7" s="452"/>
      <c r="C7" s="452"/>
      <c r="D7" s="14">
        <f>D9</f>
        <v>143863508300</v>
      </c>
      <c r="E7" s="124"/>
    </row>
    <row r="8" spans="1:5" s="15" customFormat="1" ht="12" customHeight="1">
      <c r="A8" s="34"/>
      <c r="B8" s="16" t="s">
        <v>147</v>
      </c>
      <c r="C8" s="130"/>
      <c r="D8" s="17"/>
      <c r="E8" s="130"/>
    </row>
    <row r="9" spans="1:5" s="15" customFormat="1" ht="12" customHeight="1">
      <c r="A9" s="34"/>
      <c r="B9" s="143" t="s">
        <v>146</v>
      </c>
      <c r="C9" s="452"/>
      <c r="D9" s="14">
        <f>D11+D22</f>
        <v>143863508300</v>
      </c>
      <c r="E9" s="124"/>
    </row>
    <row r="10" spans="1:5" s="15" customFormat="1" ht="12" customHeight="1">
      <c r="A10" s="34"/>
      <c r="B10" s="142"/>
      <c r="C10" s="16" t="s">
        <v>148</v>
      </c>
      <c r="D10" s="17"/>
      <c r="E10" s="16"/>
    </row>
    <row r="11" spans="1:5" s="15" customFormat="1" ht="12" customHeight="1">
      <c r="A11" s="34"/>
      <c r="B11" s="142"/>
      <c r="C11" s="450" t="s">
        <v>149</v>
      </c>
      <c r="D11" s="119">
        <f>SUM(D12:D20)</f>
        <v>5501298000</v>
      </c>
      <c r="E11" s="118"/>
    </row>
    <row r="12" spans="1:5" s="15" customFormat="1" ht="12" customHeight="1">
      <c r="A12" s="34"/>
      <c r="B12" s="142"/>
      <c r="C12" s="450"/>
      <c r="D12" s="119">
        <v>4125679000</v>
      </c>
      <c r="E12" s="118" t="s">
        <v>150</v>
      </c>
    </row>
    <row r="13" spans="1:5" s="15" customFormat="1" ht="12" customHeight="1">
      <c r="A13" s="34"/>
      <c r="B13" s="142"/>
      <c r="C13" s="450"/>
      <c r="D13" s="119">
        <v>153265000</v>
      </c>
      <c r="E13" s="118" t="s">
        <v>1032</v>
      </c>
    </row>
    <row r="14" spans="1:5" s="15" customFormat="1" ht="12" customHeight="1">
      <c r="A14" s="34"/>
      <c r="B14" s="142"/>
      <c r="C14" s="450"/>
      <c r="D14" s="119">
        <v>197950000</v>
      </c>
      <c r="E14" s="118" t="s">
        <v>152</v>
      </c>
    </row>
    <row r="15" spans="1:5" s="15" customFormat="1" ht="12" customHeight="1">
      <c r="A15" s="34"/>
      <c r="B15" s="142"/>
      <c r="C15" s="450"/>
      <c r="D15" s="119">
        <v>194670000</v>
      </c>
      <c r="E15" s="118" t="s">
        <v>153</v>
      </c>
    </row>
    <row r="16" spans="1:5" s="15" customFormat="1" ht="12" customHeight="1">
      <c r="A16" s="34"/>
      <c r="B16" s="142"/>
      <c r="C16" s="450"/>
      <c r="D16" s="119">
        <v>81070000</v>
      </c>
      <c r="E16" s="118" t="s">
        <v>154</v>
      </c>
    </row>
    <row r="17" spans="1:5" s="15" customFormat="1" ht="12" customHeight="1">
      <c r="A17" s="34"/>
      <c r="B17" s="142"/>
      <c r="C17" s="450"/>
      <c r="D17" s="119">
        <v>486354000</v>
      </c>
      <c r="E17" s="118" t="s">
        <v>155</v>
      </c>
    </row>
    <row r="18" spans="1:5" s="15" customFormat="1" ht="12" customHeight="1">
      <c r="A18" s="34"/>
      <c r="B18" s="142"/>
      <c r="C18" s="450"/>
      <c r="D18" s="119">
        <v>18190000</v>
      </c>
      <c r="E18" s="118" t="s">
        <v>156</v>
      </c>
    </row>
    <row r="19" spans="1:5" s="15" customFormat="1" ht="12" customHeight="1">
      <c r="A19" s="34"/>
      <c r="B19" s="142"/>
      <c r="C19" s="450"/>
      <c r="D19" s="119">
        <v>194900000</v>
      </c>
      <c r="E19" s="118" t="s">
        <v>157</v>
      </c>
    </row>
    <row r="20" spans="1:5" s="15" customFormat="1" ht="12" customHeight="1">
      <c r="A20" s="34"/>
      <c r="B20" s="142"/>
      <c r="C20" s="450"/>
      <c r="D20" s="119">
        <v>49220000</v>
      </c>
      <c r="E20" s="118" t="s">
        <v>158</v>
      </c>
    </row>
    <row r="21" spans="1:5" s="15" customFormat="1" ht="12" customHeight="1">
      <c r="A21" s="34"/>
      <c r="B21" s="142"/>
      <c r="C21" s="16" t="s">
        <v>159</v>
      </c>
      <c r="D21" s="17"/>
      <c r="E21" s="16"/>
    </row>
    <row r="22" spans="1:5" s="15" customFormat="1" ht="12" customHeight="1">
      <c r="A22" s="34"/>
      <c r="B22" s="142"/>
      <c r="C22" s="450" t="s">
        <v>160</v>
      </c>
      <c r="D22" s="119">
        <f>SUM(D23:D31)</f>
        <v>138362210300</v>
      </c>
      <c r="E22" s="118"/>
    </row>
    <row r="23" spans="1:5" s="15" customFormat="1" ht="12" customHeight="1">
      <c r="A23" s="34"/>
      <c r="B23" s="142"/>
      <c r="C23" s="450"/>
      <c r="D23" s="119">
        <v>113141565000</v>
      </c>
      <c r="E23" s="118" t="s">
        <v>140</v>
      </c>
    </row>
    <row r="24" spans="1:5" s="15" customFormat="1" ht="12" customHeight="1">
      <c r="A24" s="34"/>
      <c r="B24" s="142"/>
      <c r="C24" s="450"/>
      <c r="D24" s="119">
        <v>2534217000</v>
      </c>
      <c r="E24" s="118" t="s">
        <v>1033</v>
      </c>
    </row>
    <row r="25" spans="1:5" s="15" customFormat="1" ht="12" customHeight="1">
      <c r="A25" s="34"/>
      <c r="B25" s="142"/>
      <c r="C25" s="450"/>
      <c r="D25" s="119">
        <v>3495708000</v>
      </c>
      <c r="E25" s="118" t="s">
        <v>161</v>
      </c>
    </row>
    <row r="26" spans="1:5" s="15" customFormat="1" ht="12" customHeight="1">
      <c r="A26" s="34"/>
      <c r="B26" s="142"/>
      <c r="C26" s="450"/>
      <c r="D26" s="119">
        <v>3766394500</v>
      </c>
      <c r="E26" s="118" t="s">
        <v>162</v>
      </c>
    </row>
    <row r="27" spans="1:5" s="15" customFormat="1" ht="12" customHeight="1">
      <c r="A27" s="34"/>
      <c r="B27" s="142"/>
      <c r="C27" s="450"/>
      <c r="D27" s="119">
        <v>2717694000</v>
      </c>
      <c r="E27" s="118" t="s">
        <v>163</v>
      </c>
    </row>
    <row r="28" spans="1:5" s="15" customFormat="1" ht="12" customHeight="1">
      <c r="A28" s="34"/>
      <c r="B28" s="142"/>
      <c r="C28" s="450"/>
      <c r="D28" s="119">
        <v>7744060800</v>
      </c>
      <c r="E28" s="118" t="s">
        <v>144</v>
      </c>
    </row>
    <row r="29" spans="1:5" s="15" customFormat="1" ht="12" customHeight="1">
      <c r="A29" s="34"/>
      <c r="B29" s="142"/>
      <c r="C29" s="450"/>
      <c r="D29" s="119">
        <v>536712000</v>
      </c>
      <c r="E29" s="118" t="s">
        <v>143</v>
      </c>
    </row>
    <row r="30" spans="1:5" s="15" customFormat="1" ht="12" customHeight="1">
      <c r="A30" s="34"/>
      <c r="B30" s="142"/>
      <c r="C30" s="450"/>
      <c r="D30" s="119">
        <v>3759223000</v>
      </c>
      <c r="E30" s="118" t="s">
        <v>157</v>
      </c>
    </row>
    <row r="31" spans="1:5" s="15" customFormat="1" ht="12" customHeight="1">
      <c r="A31" s="34"/>
      <c r="B31" s="142"/>
      <c r="C31" s="529"/>
      <c r="D31" s="119">
        <v>666636000</v>
      </c>
      <c r="E31" s="118" t="s">
        <v>158</v>
      </c>
    </row>
    <row r="32" spans="1:5" s="15" customFormat="1" ht="12" customHeight="1">
      <c r="A32" s="658">
        <v>5400</v>
      </c>
      <c r="B32" s="657"/>
      <c r="C32" s="664"/>
      <c r="D32" s="17"/>
      <c r="E32" s="16"/>
    </row>
    <row r="33" spans="1:5" s="15" customFormat="1" ht="12" customHeight="1">
      <c r="A33" s="659" t="s">
        <v>1034</v>
      </c>
      <c r="B33" s="656"/>
      <c r="C33" s="663"/>
      <c r="D33" s="119">
        <f>D35+D39</f>
        <v>550000000</v>
      </c>
      <c r="E33" s="118"/>
    </row>
    <row r="34" spans="1:5" s="15" customFormat="1" ht="12" customHeight="1">
      <c r="A34" s="659"/>
      <c r="B34" s="661" t="s">
        <v>1035</v>
      </c>
      <c r="C34" s="664"/>
      <c r="D34" s="17"/>
      <c r="E34" s="16"/>
    </row>
    <row r="35" spans="1:5" s="15" customFormat="1" ht="12" customHeight="1">
      <c r="A35" s="659"/>
      <c r="B35" s="667" t="s">
        <v>1042</v>
      </c>
      <c r="C35" s="663"/>
      <c r="D35" s="119">
        <f>D37</f>
        <v>400000000</v>
      </c>
      <c r="E35" s="118"/>
    </row>
    <row r="36" spans="1:5" s="15" customFormat="1" ht="12" customHeight="1">
      <c r="A36" s="660"/>
      <c r="B36" s="655"/>
      <c r="C36" s="835" t="s">
        <v>1036</v>
      </c>
      <c r="D36" s="836"/>
      <c r="E36" s="837"/>
    </row>
    <row r="37" spans="1:5" s="15" customFormat="1" ht="12" customHeight="1">
      <c r="A37" s="659"/>
      <c r="B37" s="656"/>
      <c r="C37" s="529" t="s">
        <v>1037</v>
      </c>
      <c r="D37" s="119">
        <v>400000000</v>
      </c>
      <c r="E37" s="118" t="s">
        <v>1153</v>
      </c>
    </row>
    <row r="38" spans="1:5" s="15" customFormat="1" ht="12" customHeight="1">
      <c r="A38" s="659"/>
      <c r="B38" s="661" t="s">
        <v>1038</v>
      </c>
      <c r="C38" s="664"/>
      <c r="D38" s="17"/>
      <c r="E38" s="16"/>
    </row>
    <row r="39" spans="1:5" s="15" customFormat="1" ht="12" customHeight="1">
      <c r="A39" s="659"/>
      <c r="B39" s="666" t="s">
        <v>1039</v>
      </c>
      <c r="C39" s="663"/>
      <c r="D39" s="119">
        <f>D41</f>
        <v>150000000</v>
      </c>
      <c r="E39" s="118"/>
    </row>
    <row r="40" spans="1:5" s="15" customFormat="1" ht="12.75" customHeight="1">
      <c r="A40" s="659"/>
      <c r="B40" s="665"/>
      <c r="C40" s="662" t="s">
        <v>1040</v>
      </c>
      <c r="D40" s="17"/>
      <c r="E40" s="16"/>
    </row>
    <row r="41" spans="1:5" s="15" customFormat="1" ht="12.75" customHeight="1">
      <c r="A41" s="660"/>
      <c r="B41" s="655"/>
      <c r="C41" s="452" t="s">
        <v>1041</v>
      </c>
      <c r="D41" s="14">
        <v>150000000</v>
      </c>
      <c r="E41" s="209" t="s">
        <v>1154</v>
      </c>
    </row>
    <row r="42" spans="1:5" s="15" customFormat="1" ht="18" customHeight="1">
      <c r="A42" s="1185" t="s">
        <v>9</v>
      </c>
      <c r="B42" s="1186"/>
      <c r="C42" s="1187"/>
      <c r="D42" s="171">
        <f>D7+D33</f>
        <v>144413508300</v>
      </c>
      <c r="E42" s="170"/>
    </row>
  </sheetData>
  <mergeCells count="7">
    <mergeCell ref="A42:C42"/>
    <mergeCell ref="A1:E1"/>
    <mergeCell ref="A2:E2"/>
    <mergeCell ref="A3:E3"/>
    <mergeCell ref="A4:C4"/>
    <mergeCell ref="D4:D5"/>
    <mergeCell ref="E4:E5"/>
  </mergeCells>
  <printOptions/>
  <pageMargins left="0.7086614173228347" right="0.6692913385826772" top="0.7480314960629921" bottom="0.5118110236220472" header="0.31496062992125984" footer="0.2362204724409449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8"/>
  <sheetViews>
    <sheetView workbookViewId="0" topLeftCell="A235">
      <selection activeCell="E278" sqref="E278"/>
    </sheetView>
  </sheetViews>
  <sheetFormatPr defaultColWidth="9.00390625" defaultRowHeight="14.25"/>
  <cols>
    <col min="1" max="1" width="16.50390625" style="69" customWidth="1"/>
    <col min="2" max="2" width="16.75390625" style="69" customWidth="1"/>
    <col min="3" max="3" width="18.75390625" style="9" customWidth="1"/>
    <col min="4" max="4" width="21.25390625" style="9" customWidth="1"/>
    <col min="5" max="5" width="45.625" style="9" customWidth="1"/>
    <col min="6" max="6" width="16.125" style="9" bestFit="1" customWidth="1"/>
    <col min="7" max="16384" width="9.00390625" style="9" customWidth="1"/>
  </cols>
  <sheetData>
    <row r="1" spans="1:5" ht="31.5" customHeight="1">
      <c r="A1" s="993" t="s">
        <v>777</v>
      </c>
      <c r="B1" s="994"/>
      <c r="C1" s="994"/>
      <c r="D1" s="994"/>
      <c r="E1" s="994"/>
    </row>
    <row r="2" spans="1:5" ht="14.25" customHeight="1">
      <c r="A2" s="995" t="s">
        <v>785</v>
      </c>
      <c r="B2" s="995"/>
      <c r="C2" s="995"/>
      <c r="D2" s="995"/>
      <c r="E2" s="995"/>
    </row>
    <row r="3" spans="1:5" s="72" customFormat="1" ht="25.5">
      <c r="A3" s="1191" t="s">
        <v>99</v>
      </c>
      <c r="B3" s="1191"/>
      <c r="C3" s="1191"/>
      <c r="D3" s="1191"/>
      <c r="E3" s="1191"/>
    </row>
    <row r="4" spans="1:5" s="73" customFormat="1" ht="18.75" customHeight="1">
      <c r="A4" s="1033" t="s">
        <v>12</v>
      </c>
      <c r="B4" s="1033"/>
      <c r="C4" s="1033"/>
      <c r="D4" s="1034" t="s">
        <v>14</v>
      </c>
      <c r="E4" s="1188" t="s">
        <v>98</v>
      </c>
    </row>
    <row r="5" spans="1:5" s="73" customFormat="1" ht="18" customHeight="1">
      <c r="A5" s="201" t="s">
        <v>13</v>
      </c>
      <c r="B5" s="201" t="s">
        <v>7</v>
      </c>
      <c r="C5" s="201" t="s">
        <v>8</v>
      </c>
      <c r="D5" s="1033"/>
      <c r="E5" s="1189"/>
    </row>
    <row r="6" spans="1:5" s="77" customFormat="1" ht="12" customHeight="1">
      <c r="A6" s="206">
        <v>4100</v>
      </c>
      <c r="B6" s="29"/>
      <c r="C6" s="29"/>
      <c r="D6" s="89"/>
      <c r="E6" s="29"/>
    </row>
    <row r="7" spans="1:5" s="77" customFormat="1" ht="12" customHeight="1">
      <c r="A7" s="200" t="s">
        <v>94</v>
      </c>
      <c r="B7" s="199"/>
      <c r="C7" s="207"/>
      <c r="D7" s="36">
        <f>D9+D52</f>
        <v>86089342796</v>
      </c>
      <c r="E7" s="36"/>
    </row>
    <row r="8" spans="1:5" s="77" customFormat="1" ht="12" customHeight="1">
      <c r="A8" s="94"/>
      <c r="B8" s="78">
        <v>4110</v>
      </c>
      <c r="C8" s="79"/>
      <c r="D8" s="18"/>
      <c r="E8" s="18"/>
    </row>
    <row r="9" spans="1:5" s="77" customFormat="1" ht="12" customHeight="1">
      <c r="A9" s="94"/>
      <c r="B9" s="200" t="s">
        <v>78</v>
      </c>
      <c r="C9" s="80"/>
      <c r="D9" s="36">
        <f>D11+D14+D17+D20+D26+D38+D49</f>
        <v>70648346126</v>
      </c>
      <c r="E9" s="36"/>
    </row>
    <row r="10" spans="1:5" s="77" customFormat="1" ht="12" customHeight="1">
      <c r="A10" s="94"/>
      <c r="B10" s="94"/>
      <c r="C10" s="208">
        <v>4111</v>
      </c>
      <c r="D10" s="18"/>
      <c r="E10" s="18"/>
    </row>
    <row r="11" spans="1:5" s="77" customFormat="1" ht="12" customHeight="1">
      <c r="A11" s="94"/>
      <c r="B11" s="94"/>
      <c r="C11" s="144" t="s">
        <v>197</v>
      </c>
      <c r="D11" s="36">
        <f>SUM(D12:D12)</f>
        <v>29615703350</v>
      </c>
      <c r="E11" s="36"/>
    </row>
    <row r="12" spans="1:5" s="77" customFormat="1" ht="12" customHeight="1">
      <c r="A12" s="94"/>
      <c r="B12" s="94"/>
      <c r="C12" s="144"/>
      <c r="D12" s="36">
        <v>29615703350</v>
      </c>
      <c r="E12" s="166" t="s">
        <v>793</v>
      </c>
    </row>
    <row r="13" spans="1:5" s="77" customFormat="1" ht="12" customHeight="1">
      <c r="A13" s="94"/>
      <c r="B13" s="113"/>
      <c r="C13" s="85">
        <v>4112</v>
      </c>
      <c r="D13" s="18"/>
      <c r="E13" s="18"/>
    </row>
    <row r="14" spans="1:5" s="77" customFormat="1" ht="12" customHeight="1">
      <c r="A14" s="94"/>
      <c r="B14" s="113"/>
      <c r="C14" s="145" t="s">
        <v>181</v>
      </c>
      <c r="D14" s="36">
        <f>SUM(D15:D15)</f>
        <v>19412196815</v>
      </c>
      <c r="E14" s="36"/>
    </row>
    <row r="15" spans="1:5" s="77" customFormat="1" ht="12" customHeight="1">
      <c r="A15" s="94"/>
      <c r="B15" s="113"/>
      <c r="C15" s="145"/>
      <c r="D15" s="36">
        <v>19412196815</v>
      </c>
      <c r="E15" s="80" t="s">
        <v>794</v>
      </c>
    </row>
    <row r="16" spans="1:5" s="77" customFormat="1" ht="12" customHeight="1">
      <c r="A16" s="94"/>
      <c r="B16" s="113"/>
      <c r="C16" s="85">
        <v>4113</v>
      </c>
      <c r="D16" s="18"/>
      <c r="E16" s="18"/>
    </row>
    <row r="17" spans="1:5" s="77" customFormat="1" ht="12" customHeight="1">
      <c r="A17" s="94"/>
      <c r="B17" s="113"/>
      <c r="C17" s="145" t="s">
        <v>1066</v>
      </c>
      <c r="D17" s="36">
        <f>SUM(D18:D18)</f>
        <v>9501157201</v>
      </c>
      <c r="E17" s="36"/>
    </row>
    <row r="18" spans="1:5" s="77" customFormat="1" ht="12" customHeight="1">
      <c r="A18" s="94"/>
      <c r="B18" s="113"/>
      <c r="C18" s="145"/>
      <c r="D18" s="36">
        <v>9501157201</v>
      </c>
      <c r="E18" s="138" t="s">
        <v>795</v>
      </c>
    </row>
    <row r="19" spans="1:5" s="77" customFormat="1" ht="12" customHeight="1">
      <c r="A19" s="94"/>
      <c r="B19" s="113"/>
      <c r="C19" s="85">
        <v>4114</v>
      </c>
      <c r="D19" s="18"/>
      <c r="E19" s="18"/>
    </row>
    <row r="20" spans="1:5" s="77" customFormat="1" ht="12" customHeight="1">
      <c r="A20" s="94"/>
      <c r="B20" s="113"/>
      <c r="C20" s="145" t="s">
        <v>182</v>
      </c>
      <c r="D20" s="36">
        <f>SUM(D21:D24)</f>
        <v>1558367000</v>
      </c>
      <c r="E20" s="36"/>
    </row>
    <row r="21" spans="1:5" s="77" customFormat="1" ht="12" customHeight="1">
      <c r="A21" s="94"/>
      <c r="B21" s="113"/>
      <c r="C21" s="145"/>
      <c r="D21" s="36">
        <v>268877593</v>
      </c>
      <c r="E21" s="138" t="s">
        <v>309</v>
      </c>
    </row>
    <row r="22" spans="1:5" s="77" customFormat="1" ht="12" customHeight="1">
      <c r="A22" s="94"/>
      <c r="B22" s="113"/>
      <c r="C22" s="145"/>
      <c r="D22" s="156">
        <v>1187860887</v>
      </c>
      <c r="E22" s="138" t="s">
        <v>201</v>
      </c>
    </row>
    <row r="23" spans="1:5" s="77" customFormat="1" ht="12" customHeight="1">
      <c r="A23" s="94"/>
      <c r="B23" s="113"/>
      <c r="C23" s="145"/>
      <c r="D23" s="156">
        <v>57843844</v>
      </c>
      <c r="E23" s="138" t="s">
        <v>202</v>
      </c>
    </row>
    <row r="24" spans="1:5" s="77" customFormat="1" ht="12" customHeight="1">
      <c r="A24" s="94"/>
      <c r="B24" s="113"/>
      <c r="C24" s="145"/>
      <c r="D24" s="156">
        <v>43784676</v>
      </c>
      <c r="E24" s="138" t="s">
        <v>203</v>
      </c>
    </row>
    <row r="25" spans="1:5" s="77" customFormat="1" ht="12" customHeight="1">
      <c r="A25" s="94"/>
      <c r="B25" s="113"/>
      <c r="C25" s="85">
        <v>4115</v>
      </c>
      <c r="D25" s="18"/>
      <c r="E25" s="18"/>
    </row>
    <row r="26" spans="1:5" s="77" customFormat="1" ht="12" customHeight="1">
      <c r="A26" s="94"/>
      <c r="B26" s="113"/>
      <c r="C26" s="145" t="s">
        <v>32</v>
      </c>
      <c r="D26" s="36">
        <f>SUM(D27:D36)</f>
        <v>10097849560</v>
      </c>
      <c r="E26" s="36"/>
    </row>
    <row r="27" spans="1:5" s="77" customFormat="1" ht="12" customHeight="1">
      <c r="A27" s="94"/>
      <c r="B27" s="113"/>
      <c r="C27" s="145"/>
      <c r="D27" s="36">
        <v>8473467160</v>
      </c>
      <c r="E27" s="138" t="s">
        <v>204</v>
      </c>
    </row>
    <row r="28" spans="1:5" s="77" customFormat="1" ht="12" customHeight="1">
      <c r="A28" s="94"/>
      <c r="B28" s="113"/>
      <c r="C28" s="145"/>
      <c r="D28" s="36">
        <v>26768000</v>
      </c>
      <c r="E28" s="118" t="s">
        <v>142</v>
      </c>
    </row>
    <row r="29" spans="1:5" s="77" customFormat="1" ht="12" customHeight="1">
      <c r="A29" s="94"/>
      <c r="B29" s="113"/>
      <c r="C29" s="145"/>
      <c r="D29" s="36">
        <v>18109200</v>
      </c>
      <c r="E29" s="118" t="s">
        <v>141</v>
      </c>
    </row>
    <row r="30" spans="1:5" s="77" customFormat="1" ht="12" customHeight="1">
      <c r="A30" s="94"/>
      <c r="B30" s="113"/>
      <c r="C30" s="145"/>
      <c r="D30" s="36">
        <v>268444800</v>
      </c>
      <c r="E30" s="118" t="s">
        <v>152</v>
      </c>
    </row>
    <row r="31" spans="1:5" s="77" customFormat="1" ht="12" customHeight="1">
      <c r="A31" s="94"/>
      <c r="B31" s="113"/>
      <c r="C31" s="145"/>
      <c r="D31" s="36">
        <v>311245200</v>
      </c>
      <c r="E31" s="118" t="s">
        <v>153</v>
      </c>
    </row>
    <row r="32" spans="1:5" s="77" customFormat="1" ht="12" customHeight="1">
      <c r="A32" s="94"/>
      <c r="B32" s="113"/>
      <c r="C32" s="145"/>
      <c r="D32" s="36">
        <v>73834800</v>
      </c>
      <c r="E32" s="118" t="s">
        <v>154</v>
      </c>
    </row>
    <row r="33" spans="1:5" s="77" customFormat="1" ht="12" customHeight="1">
      <c r="A33" s="94"/>
      <c r="B33" s="113"/>
      <c r="C33" s="145"/>
      <c r="D33" s="36">
        <v>335742000</v>
      </c>
      <c r="E33" s="118" t="s">
        <v>155</v>
      </c>
    </row>
    <row r="34" spans="1:5" s="77" customFormat="1" ht="12" customHeight="1">
      <c r="A34" s="94"/>
      <c r="B34" s="113"/>
      <c r="C34" s="145"/>
      <c r="D34" s="36">
        <v>84128000</v>
      </c>
      <c r="E34" s="118" t="s">
        <v>156</v>
      </c>
    </row>
    <row r="35" spans="1:5" s="77" customFormat="1" ht="12" customHeight="1">
      <c r="A35" s="788"/>
      <c r="B35" s="792"/>
      <c r="C35" s="800"/>
      <c r="D35" s="772">
        <v>488520000</v>
      </c>
      <c r="E35" s="118" t="s">
        <v>157</v>
      </c>
    </row>
    <row r="36" spans="1:5" s="77" customFormat="1" ht="12" customHeight="1">
      <c r="A36" s="94"/>
      <c r="B36" s="113"/>
      <c r="C36" s="145"/>
      <c r="D36" s="36">
        <v>17590400</v>
      </c>
      <c r="E36" s="118" t="s">
        <v>158</v>
      </c>
    </row>
    <row r="37" spans="1:5" s="77" customFormat="1" ht="12" customHeight="1">
      <c r="A37" s="94"/>
      <c r="B37" s="113"/>
      <c r="C37" s="85">
        <v>4116</v>
      </c>
      <c r="D37" s="18"/>
      <c r="E37" s="18"/>
    </row>
    <row r="38" spans="1:5" s="77" customFormat="1" ht="12" customHeight="1">
      <c r="A38" s="814"/>
      <c r="B38" s="795"/>
      <c r="C38" s="83" t="s">
        <v>100</v>
      </c>
      <c r="D38" s="770">
        <f>SUM(D39:D47)</f>
        <v>151241200</v>
      </c>
      <c r="E38" s="770"/>
    </row>
    <row r="39" spans="1:5" s="77" customFormat="1" ht="12" customHeight="1">
      <c r="A39" s="127"/>
      <c r="B39" s="126"/>
      <c r="C39" s="145"/>
      <c r="D39" s="36">
        <v>39340000</v>
      </c>
      <c r="E39" s="138" t="s">
        <v>204</v>
      </c>
    </row>
    <row r="40" spans="1:5" s="77" customFormat="1" ht="12" customHeight="1">
      <c r="A40" s="127"/>
      <c r="B40" s="126"/>
      <c r="C40" s="145"/>
      <c r="D40" s="36">
        <v>8000000</v>
      </c>
      <c r="E40" s="118" t="s">
        <v>151</v>
      </c>
    </row>
    <row r="41" spans="1:5" s="77" customFormat="1" ht="12" customHeight="1">
      <c r="A41" s="127"/>
      <c r="B41" s="126"/>
      <c r="C41" s="145"/>
      <c r="D41" s="36">
        <v>1500000</v>
      </c>
      <c r="E41" s="118" t="s">
        <v>141</v>
      </c>
    </row>
    <row r="42" spans="1:5" s="77" customFormat="1" ht="12" customHeight="1">
      <c r="A42" s="127"/>
      <c r="B42" s="126"/>
      <c r="C42" s="145"/>
      <c r="D42" s="36">
        <v>4000000</v>
      </c>
      <c r="E42" s="118" t="s">
        <v>152</v>
      </c>
    </row>
    <row r="43" spans="1:5" s="77" customFormat="1" ht="12" customHeight="1">
      <c r="A43" s="127"/>
      <c r="B43" s="126"/>
      <c r="C43" s="145"/>
      <c r="D43" s="36">
        <v>52407200</v>
      </c>
      <c r="E43" s="118" t="s">
        <v>289</v>
      </c>
    </row>
    <row r="44" spans="1:5" s="77" customFormat="1" ht="12" customHeight="1">
      <c r="A44" s="197"/>
      <c r="B44" s="196"/>
      <c r="C44" s="145"/>
      <c r="D44" s="36">
        <v>3550000</v>
      </c>
      <c r="E44" s="118" t="s">
        <v>386</v>
      </c>
    </row>
    <row r="45" spans="1:5" s="77" customFormat="1" ht="12" customHeight="1">
      <c r="A45" s="127"/>
      <c r="B45" s="126"/>
      <c r="C45" s="145"/>
      <c r="D45" s="36">
        <v>32320000</v>
      </c>
      <c r="E45" s="118" t="s">
        <v>154</v>
      </c>
    </row>
    <row r="46" spans="1:5" s="77" customFormat="1" ht="12" customHeight="1">
      <c r="A46" s="127"/>
      <c r="B46" s="126"/>
      <c r="C46" s="145"/>
      <c r="D46" s="36">
        <v>7624000</v>
      </c>
      <c r="E46" s="118" t="s">
        <v>157</v>
      </c>
    </row>
    <row r="47" spans="1:5" s="77" customFormat="1" ht="12" customHeight="1">
      <c r="A47" s="127"/>
      <c r="B47" s="126"/>
      <c r="C47" s="145"/>
      <c r="D47" s="36">
        <v>2500000</v>
      </c>
      <c r="E47" s="118" t="s">
        <v>158</v>
      </c>
    </row>
    <row r="48" spans="1:5" s="77" customFormat="1" ht="12" customHeight="1">
      <c r="A48" s="653"/>
      <c r="B48" s="652"/>
      <c r="C48" s="85">
        <v>4117</v>
      </c>
      <c r="D48" s="18"/>
      <c r="E48" s="16"/>
    </row>
    <row r="49" spans="1:5" s="77" customFormat="1" ht="12" customHeight="1">
      <c r="A49" s="653"/>
      <c r="B49" s="652"/>
      <c r="C49" s="145" t="s">
        <v>1044</v>
      </c>
      <c r="D49" s="36">
        <f>SUM(D50)</f>
        <v>311831000</v>
      </c>
      <c r="E49" s="118"/>
    </row>
    <row r="50" spans="1:5" s="77" customFormat="1" ht="12" customHeight="1">
      <c r="A50" s="653"/>
      <c r="B50" s="652"/>
      <c r="C50" s="145"/>
      <c r="D50" s="36">
        <v>311831000</v>
      </c>
      <c r="E50" s="118" t="s">
        <v>1045</v>
      </c>
    </row>
    <row r="51" spans="1:5" s="77" customFormat="1" ht="12" customHeight="1">
      <c r="A51" s="113"/>
      <c r="B51" s="78">
        <v>4120</v>
      </c>
      <c r="C51" s="40"/>
      <c r="D51" s="18"/>
      <c r="E51" s="147"/>
    </row>
    <row r="52" spans="1:5" s="77" customFormat="1" ht="12" customHeight="1">
      <c r="A52" s="113"/>
      <c r="B52" s="159" t="s">
        <v>33</v>
      </c>
      <c r="C52" s="32"/>
      <c r="D52" s="19">
        <f>D54+D57+D60+D63+D69+D72</f>
        <v>15440996670</v>
      </c>
      <c r="E52" s="139"/>
    </row>
    <row r="53" spans="1:5" s="77" customFormat="1" ht="12" customHeight="1">
      <c r="A53" s="113"/>
      <c r="B53" s="94"/>
      <c r="C53" s="37">
        <v>4121</v>
      </c>
      <c r="D53" s="18"/>
      <c r="E53" s="147"/>
    </row>
    <row r="54" spans="1:5" s="77" customFormat="1" ht="12" customHeight="1">
      <c r="A54" s="113"/>
      <c r="B54" s="94"/>
      <c r="C54" s="46" t="s">
        <v>34</v>
      </c>
      <c r="D54" s="36">
        <f>SUM(D55:D55)</f>
        <v>6622037000</v>
      </c>
      <c r="E54" s="138"/>
    </row>
    <row r="55" spans="1:5" s="77" customFormat="1" ht="12" customHeight="1">
      <c r="A55" s="113"/>
      <c r="B55" s="94"/>
      <c r="C55" s="46"/>
      <c r="D55" s="36">
        <v>6622037000</v>
      </c>
      <c r="E55" s="138" t="s">
        <v>796</v>
      </c>
    </row>
    <row r="56" spans="1:5" s="77" customFormat="1" ht="12" customHeight="1">
      <c r="A56" s="113"/>
      <c r="B56" s="94"/>
      <c r="C56" s="37">
        <v>4122</v>
      </c>
      <c r="D56" s="18"/>
      <c r="E56" s="147"/>
    </row>
    <row r="57" spans="1:5" s="77" customFormat="1" ht="12" customHeight="1">
      <c r="A57" s="113"/>
      <c r="B57" s="94"/>
      <c r="C57" s="46" t="s">
        <v>35</v>
      </c>
      <c r="D57" s="36">
        <f>SUM(D58:D58)</f>
        <v>6360186000</v>
      </c>
      <c r="E57" s="138"/>
    </row>
    <row r="58" spans="1:5" s="77" customFormat="1" ht="12" customHeight="1">
      <c r="A58" s="113"/>
      <c r="B58" s="94"/>
      <c r="C58" s="46"/>
      <c r="D58" s="36">
        <v>6360186000</v>
      </c>
      <c r="E58" s="138" t="s">
        <v>797</v>
      </c>
    </row>
    <row r="59" spans="1:5" s="77" customFormat="1" ht="12" customHeight="1">
      <c r="A59" s="113"/>
      <c r="B59" s="94"/>
      <c r="C59" s="37">
        <v>4123</v>
      </c>
      <c r="D59" s="18"/>
      <c r="E59" s="147"/>
    </row>
    <row r="60" spans="1:5" s="77" customFormat="1" ht="12" customHeight="1">
      <c r="A60" s="113"/>
      <c r="B60" s="94"/>
      <c r="C60" s="46" t="s">
        <v>36</v>
      </c>
      <c r="D60" s="36">
        <f>SUM(D61:D61)</f>
        <v>996162999</v>
      </c>
      <c r="E60" s="138"/>
    </row>
    <row r="61" spans="1:5" s="77" customFormat="1" ht="12" customHeight="1">
      <c r="A61" s="113"/>
      <c r="B61" s="94"/>
      <c r="C61" s="46"/>
      <c r="D61" s="36">
        <v>996162999</v>
      </c>
      <c r="E61" s="138" t="s">
        <v>205</v>
      </c>
    </row>
    <row r="62" spans="1:5" s="77" customFormat="1" ht="12" customHeight="1">
      <c r="A62" s="113"/>
      <c r="B62" s="94"/>
      <c r="C62" s="37">
        <v>4124</v>
      </c>
      <c r="D62" s="18"/>
      <c r="E62" s="147"/>
    </row>
    <row r="63" spans="1:5" s="77" customFormat="1" ht="12" customHeight="1">
      <c r="A63" s="113"/>
      <c r="B63" s="94"/>
      <c r="C63" s="46" t="s">
        <v>79</v>
      </c>
      <c r="D63" s="36">
        <f>SUM(D64:D67)</f>
        <v>498481159</v>
      </c>
      <c r="E63" s="138"/>
    </row>
    <row r="64" spans="1:5" s="77" customFormat="1" ht="12" customHeight="1">
      <c r="A64" s="113"/>
      <c r="B64" s="94"/>
      <c r="C64" s="46"/>
      <c r="D64" s="36">
        <v>26830280</v>
      </c>
      <c r="E64" s="138" t="s">
        <v>200</v>
      </c>
    </row>
    <row r="65" spans="1:5" s="77" customFormat="1" ht="12" customHeight="1">
      <c r="A65" s="113"/>
      <c r="B65" s="94"/>
      <c r="C65" s="46"/>
      <c r="D65" s="36">
        <v>455646234</v>
      </c>
      <c r="E65" s="138" t="s">
        <v>201</v>
      </c>
    </row>
    <row r="66" spans="1:5" s="77" customFormat="1" ht="12" customHeight="1">
      <c r="A66" s="113"/>
      <c r="B66" s="94"/>
      <c r="C66" s="46"/>
      <c r="D66" s="36">
        <v>11091904</v>
      </c>
      <c r="E66" s="138" t="s">
        <v>202</v>
      </c>
    </row>
    <row r="67" spans="1:5" s="77" customFormat="1" ht="12" customHeight="1">
      <c r="A67" s="113"/>
      <c r="B67" s="94"/>
      <c r="C67" s="46"/>
      <c r="D67" s="36">
        <v>4912741</v>
      </c>
      <c r="E67" s="138" t="s">
        <v>203</v>
      </c>
    </row>
    <row r="68" spans="1:5" s="77" customFormat="1" ht="12" customHeight="1">
      <c r="A68" s="113"/>
      <c r="B68" s="94"/>
      <c r="C68" s="37">
        <v>4125</v>
      </c>
      <c r="D68" s="18"/>
      <c r="E68" s="147"/>
    </row>
    <row r="69" spans="1:5" s="77" customFormat="1" ht="12" customHeight="1">
      <c r="A69" s="113"/>
      <c r="B69" s="94"/>
      <c r="C69" s="46" t="s">
        <v>183</v>
      </c>
      <c r="D69" s="36">
        <f>SUM(D70:D70)</f>
        <v>706583000</v>
      </c>
      <c r="E69" s="138"/>
    </row>
    <row r="70" spans="1:5" s="77" customFormat="1" ht="12.75" customHeight="1">
      <c r="A70" s="113"/>
      <c r="B70" s="94"/>
      <c r="C70" s="46"/>
      <c r="D70" s="36">
        <v>706583000</v>
      </c>
      <c r="E70" s="138" t="s">
        <v>206</v>
      </c>
    </row>
    <row r="71" spans="1:5" s="77" customFormat="1" ht="12.75" customHeight="1">
      <c r="A71" s="113"/>
      <c r="B71" s="94"/>
      <c r="C71" s="37">
        <v>4127</v>
      </c>
      <c r="D71" s="18"/>
      <c r="E71" s="147"/>
    </row>
    <row r="72" spans="1:5" s="77" customFormat="1" ht="12.75" customHeight="1">
      <c r="A72" s="113"/>
      <c r="B72" s="94"/>
      <c r="C72" s="46" t="s">
        <v>1046</v>
      </c>
      <c r="D72" s="36">
        <f>SUM(D73)</f>
        <v>257546512</v>
      </c>
      <c r="E72" s="138"/>
    </row>
    <row r="73" spans="1:5" s="77" customFormat="1" ht="12.75" customHeight="1">
      <c r="A73" s="113"/>
      <c r="B73" s="94"/>
      <c r="C73" s="46"/>
      <c r="D73" s="36">
        <v>257546512</v>
      </c>
      <c r="E73" s="138" t="s">
        <v>1047</v>
      </c>
    </row>
    <row r="74" spans="1:5" s="77" customFormat="1" ht="12" customHeight="1">
      <c r="A74" s="78">
        <v>4200</v>
      </c>
      <c r="B74" s="164"/>
      <c r="C74" s="40"/>
      <c r="D74" s="18"/>
      <c r="E74" s="147"/>
    </row>
    <row r="75" spans="1:5" s="77" customFormat="1" ht="12" customHeight="1">
      <c r="A75" s="127" t="s">
        <v>81</v>
      </c>
      <c r="B75" s="128"/>
      <c r="C75" s="42"/>
      <c r="D75" s="19">
        <f>D77+D111+D155</f>
        <v>13166223909</v>
      </c>
      <c r="E75" s="139"/>
    </row>
    <row r="76" spans="1:5" s="77" customFormat="1" ht="12" customHeight="1">
      <c r="A76" s="127"/>
      <c r="B76" s="78">
        <v>4210</v>
      </c>
      <c r="C76" s="92"/>
      <c r="D76" s="36"/>
      <c r="E76" s="138"/>
    </row>
    <row r="77" spans="1:5" s="77" customFormat="1" ht="12" customHeight="1">
      <c r="A77" s="814"/>
      <c r="B77" s="814" t="s">
        <v>45</v>
      </c>
      <c r="C77" s="776"/>
      <c r="D77" s="770">
        <f>D79+D87+D93+D97+D102+D105</f>
        <v>5972613100</v>
      </c>
      <c r="E77" s="798"/>
    </row>
    <row r="78" spans="1:5" s="77" customFormat="1" ht="12" customHeight="1">
      <c r="A78" s="472"/>
      <c r="B78" s="94"/>
      <c r="C78" s="132">
        <v>4211</v>
      </c>
      <c r="D78" s="101"/>
      <c r="E78" s="149"/>
    </row>
    <row r="79" spans="1:5" s="77" customFormat="1" ht="12" customHeight="1">
      <c r="A79" s="788"/>
      <c r="B79" s="788"/>
      <c r="C79" s="779" t="s">
        <v>40</v>
      </c>
      <c r="D79" s="772">
        <f>SUM(D80:D85)</f>
        <v>1290094500</v>
      </c>
      <c r="E79" s="797"/>
    </row>
    <row r="80" spans="1:5" s="77" customFormat="1" ht="12" customHeight="1">
      <c r="A80" s="94"/>
      <c r="B80" s="94"/>
      <c r="C80" s="46"/>
      <c r="D80" s="36">
        <v>683400000</v>
      </c>
      <c r="E80" s="138" t="s">
        <v>207</v>
      </c>
    </row>
    <row r="81" spans="1:5" s="77" customFormat="1" ht="12" customHeight="1">
      <c r="A81" s="94"/>
      <c r="B81" s="94"/>
      <c r="C81" s="46"/>
      <c r="D81" s="36">
        <v>116460000</v>
      </c>
      <c r="E81" s="138" t="s">
        <v>209</v>
      </c>
    </row>
    <row r="82" spans="1:5" s="77" customFormat="1" ht="12" customHeight="1">
      <c r="A82" s="94"/>
      <c r="B82" s="94"/>
      <c r="C82" s="46"/>
      <c r="D82" s="36">
        <v>103500000</v>
      </c>
      <c r="E82" s="138" t="s">
        <v>210</v>
      </c>
    </row>
    <row r="83" spans="1:5" s="77" customFormat="1" ht="12" customHeight="1">
      <c r="A83" s="94"/>
      <c r="B83" s="94"/>
      <c r="C83" s="46"/>
      <c r="D83" s="36">
        <v>91800000</v>
      </c>
      <c r="E83" s="138" t="s">
        <v>211</v>
      </c>
    </row>
    <row r="84" spans="1:5" s="77" customFormat="1" ht="12" customHeight="1">
      <c r="A84" s="94"/>
      <c r="B84" s="94"/>
      <c r="C84" s="46"/>
      <c r="D84" s="36">
        <v>200000000</v>
      </c>
      <c r="E84" s="138" t="s">
        <v>1048</v>
      </c>
    </row>
    <row r="85" spans="1:5" s="77" customFormat="1" ht="12" customHeight="1">
      <c r="A85" s="94"/>
      <c r="B85" s="94"/>
      <c r="C85" s="46"/>
      <c r="D85" s="36">
        <v>94934500</v>
      </c>
      <c r="E85" s="138" t="s">
        <v>208</v>
      </c>
    </row>
    <row r="86" spans="1:5" s="77" customFormat="1" ht="12" customHeight="1">
      <c r="A86" s="93"/>
      <c r="B86" s="94"/>
      <c r="C86" s="37">
        <v>4212</v>
      </c>
      <c r="D86" s="38"/>
      <c r="E86" s="148"/>
    </row>
    <row r="87" spans="1:5" s="77" customFormat="1" ht="12" customHeight="1">
      <c r="A87" s="94"/>
      <c r="B87" s="94"/>
      <c r="C87" s="46" t="s">
        <v>41</v>
      </c>
      <c r="D87" s="36">
        <f>SUM(D88:D91)</f>
        <v>409533600</v>
      </c>
      <c r="E87" s="138"/>
    </row>
    <row r="88" spans="1:5" s="77" customFormat="1" ht="12" customHeight="1">
      <c r="A88" s="94"/>
      <c r="B88" s="94"/>
      <c r="C88" s="46"/>
      <c r="D88" s="36">
        <v>175594000</v>
      </c>
      <c r="E88" s="138" t="s">
        <v>212</v>
      </c>
    </row>
    <row r="89" spans="1:5" s="77" customFormat="1" ht="12" customHeight="1">
      <c r="A89" s="94"/>
      <c r="B89" s="94"/>
      <c r="C89" s="46"/>
      <c r="D89" s="36">
        <v>50000000</v>
      </c>
      <c r="E89" s="138" t="s">
        <v>214</v>
      </c>
    </row>
    <row r="90" spans="1:5" s="77" customFormat="1" ht="12" customHeight="1">
      <c r="A90" s="94"/>
      <c r="B90" s="94"/>
      <c r="C90" s="46"/>
      <c r="D90" s="36">
        <v>106980000</v>
      </c>
      <c r="E90" s="138" t="s">
        <v>215</v>
      </c>
    </row>
    <row r="91" spans="1:5" s="77" customFormat="1" ht="12" customHeight="1">
      <c r="A91" s="94"/>
      <c r="B91" s="94"/>
      <c r="C91" s="46"/>
      <c r="D91" s="36">
        <v>76959600</v>
      </c>
      <c r="E91" s="138" t="s">
        <v>213</v>
      </c>
    </row>
    <row r="92" spans="1:5" s="77" customFormat="1" ht="12" customHeight="1">
      <c r="A92" s="93"/>
      <c r="B92" s="94"/>
      <c r="C92" s="37">
        <v>4213</v>
      </c>
      <c r="D92" s="38"/>
      <c r="E92" s="148"/>
    </row>
    <row r="93" spans="1:5" s="77" customFormat="1" ht="12" customHeight="1">
      <c r="A93" s="94"/>
      <c r="B93" s="94"/>
      <c r="C93" s="46" t="s">
        <v>42</v>
      </c>
      <c r="D93" s="36">
        <f>SUM(D94:D95)</f>
        <v>53800000</v>
      </c>
      <c r="E93" s="138"/>
    </row>
    <row r="94" spans="1:5" s="77" customFormat="1" ht="12" customHeight="1">
      <c r="A94" s="94"/>
      <c r="B94" s="94"/>
      <c r="C94" s="46"/>
      <c r="D94" s="36">
        <v>30000000</v>
      </c>
      <c r="E94" s="138" t="s">
        <v>216</v>
      </c>
    </row>
    <row r="95" spans="1:5" s="77" customFormat="1" ht="12" customHeight="1">
      <c r="A95" s="94"/>
      <c r="B95" s="94"/>
      <c r="C95" s="46"/>
      <c r="D95" s="36">
        <v>23800000</v>
      </c>
      <c r="E95" s="138" t="s">
        <v>217</v>
      </c>
    </row>
    <row r="96" spans="1:5" s="77" customFormat="1" ht="12" customHeight="1">
      <c r="A96" s="93"/>
      <c r="B96" s="94"/>
      <c r="C96" s="37">
        <v>4215</v>
      </c>
      <c r="D96" s="38"/>
      <c r="E96" s="148"/>
    </row>
    <row r="97" spans="1:5" s="77" customFormat="1" ht="12" customHeight="1">
      <c r="A97" s="94"/>
      <c r="B97" s="94"/>
      <c r="C97" s="46" t="s">
        <v>95</v>
      </c>
      <c r="D97" s="36">
        <f>SUM(D98:D100)</f>
        <v>4008132200</v>
      </c>
      <c r="E97" s="138"/>
    </row>
    <row r="98" spans="1:5" s="77" customFormat="1" ht="12" customHeight="1">
      <c r="A98" s="94"/>
      <c r="B98" s="94"/>
      <c r="C98" s="46"/>
      <c r="D98" s="36">
        <v>3888132200</v>
      </c>
      <c r="E98" s="138" t="s">
        <v>218</v>
      </c>
    </row>
    <row r="99" spans="1:5" s="77" customFormat="1" ht="12" customHeight="1">
      <c r="A99" s="94"/>
      <c r="B99" s="94"/>
      <c r="C99" s="46"/>
      <c r="D99" s="36">
        <v>94000000</v>
      </c>
      <c r="E99" s="138" t="s">
        <v>219</v>
      </c>
    </row>
    <row r="100" spans="1:5" s="77" customFormat="1" ht="12" customHeight="1">
      <c r="A100" s="94"/>
      <c r="B100" s="94"/>
      <c r="C100" s="46"/>
      <c r="D100" s="36">
        <v>26000000</v>
      </c>
      <c r="E100" s="138" t="s">
        <v>220</v>
      </c>
    </row>
    <row r="101" spans="1:5" s="77" customFormat="1" ht="12" customHeight="1">
      <c r="A101" s="93"/>
      <c r="B101" s="93"/>
      <c r="C101" s="37">
        <v>4216</v>
      </c>
      <c r="D101" s="38"/>
      <c r="E101" s="148"/>
    </row>
    <row r="102" spans="1:5" s="77" customFormat="1" ht="12" customHeight="1">
      <c r="A102" s="94"/>
      <c r="B102" s="94"/>
      <c r="C102" s="46" t="s">
        <v>184</v>
      </c>
      <c r="D102" s="36">
        <f>SUM(D103:D103)</f>
        <v>60000000</v>
      </c>
      <c r="E102" s="138"/>
    </row>
    <row r="103" spans="1:5" s="77" customFormat="1" ht="12" customHeight="1">
      <c r="A103" s="94"/>
      <c r="B103" s="94"/>
      <c r="C103" s="46"/>
      <c r="D103" s="36">
        <v>60000000</v>
      </c>
      <c r="E103" s="138" t="s">
        <v>798</v>
      </c>
    </row>
    <row r="104" spans="1:5" s="77" customFormat="1" ht="12" customHeight="1">
      <c r="A104" s="93"/>
      <c r="B104" s="94"/>
      <c r="C104" s="37">
        <v>4217</v>
      </c>
      <c r="D104" s="38"/>
      <c r="E104" s="148"/>
    </row>
    <row r="105" spans="1:5" s="77" customFormat="1" ht="12" customHeight="1">
      <c r="A105" s="94"/>
      <c r="B105" s="94"/>
      <c r="C105" s="46" t="s">
        <v>129</v>
      </c>
      <c r="D105" s="36">
        <f>SUM(D106:D109)</f>
        <v>151052800</v>
      </c>
      <c r="E105" s="138"/>
    </row>
    <row r="106" spans="1:5" s="77" customFormat="1" ht="12" customHeight="1">
      <c r="A106" s="94"/>
      <c r="B106" s="94"/>
      <c r="C106" s="46"/>
      <c r="D106" s="36">
        <v>10000000</v>
      </c>
      <c r="E106" s="138" t="s">
        <v>224</v>
      </c>
    </row>
    <row r="107" spans="1:5" s="77" customFormat="1" ht="12" customHeight="1">
      <c r="A107" s="94"/>
      <c r="B107" s="94"/>
      <c r="C107" s="46"/>
      <c r="D107" s="36">
        <v>65052800</v>
      </c>
      <c r="E107" s="138" t="s">
        <v>222</v>
      </c>
    </row>
    <row r="108" spans="1:5" s="77" customFormat="1" ht="12" customHeight="1">
      <c r="A108" s="94"/>
      <c r="B108" s="94"/>
      <c r="C108" s="46"/>
      <c r="D108" s="36">
        <v>50000000</v>
      </c>
      <c r="E108" s="138" t="s">
        <v>223</v>
      </c>
    </row>
    <row r="109" spans="1:5" s="77" customFormat="1" ht="12" customHeight="1">
      <c r="A109" s="94"/>
      <c r="B109" s="94"/>
      <c r="C109" s="46"/>
      <c r="D109" s="36">
        <v>26000000</v>
      </c>
      <c r="E109" s="138" t="s">
        <v>290</v>
      </c>
    </row>
    <row r="110" spans="1:5" s="77" customFormat="1" ht="12" customHeight="1">
      <c r="A110" s="93"/>
      <c r="B110" s="100">
        <v>4220</v>
      </c>
      <c r="C110" s="37"/>
      <c r="D110" s="38"/>
      <c r="E110" s="148"/>
    </row>
    <row r="111" spans="1:5" s="77" customFormat="1" ht="12" customHeight="1">
      <c r="A111" s="94"/>
      <c r="B111" s="200" t="s">
        <v>82</v>
      </c>
      <c r="C111" s="92"/>
      <c r="D111" s="36">
        <f>D113+D116+D120+D131+D134+D138+D142+D147+D152</f>
        <v>5209634379</v>
      </c>
      <c r="E111" s="138"/>
    </row>
    <row r="112" spans="1:5" s="77" customFormat="1" ht="12" customHeight="1">
      <c r="A112" s="460"/>
      <c r="B112" s="460"/>
      <c r="C112" s="43">
        <v>4221</v>
      </c>
      <c r="D112" s="38"/>
      <c r="E112" s="148"/>
    </row>
    <row r="113" spans="1:5" s="77" customFormat="1" ht="12" customHeight="1">
      <c r="A113" s="94"/>
      <c r="B113" s="94"/>
      <c r="C113" s="46" t="s">
        <v>46</v>
      </c>
      <c r="D113" s="36">
        <f>SUM(D114:D114)</f>
        <v>98837354</v>
      </c>
      <c r="E113" s="138"/>
    </row>
    <row r="114" spans="1:5" s="77" customFormat="1" ht="12" customHeight="1">
      <c r="A114" s="94"/>
      <c r="B114" s="94"/>
      <c r="C114" s="46"/>
      <c r="D114" s="36">
        <v>98837354</v>
      </c>
      <c r="E114" s="138" t="s">
        <v>799</v>
      </c>
    </row>
    <row r="115" spans="1:5" s="77" customFormat="1" ht="12" customHeight="1">
      <c r="A115" s="93"/>
      <c r="B115" s="93"/>
      <c r="C115" s="37">
        <v>4222</v>
      </c>
      <c r="D115" s="38"/>
      <c r="E115" s="148"/>
    </row>
    <row r="116" spans="1:5" s="77" customFormat="1" ht="12" customHeight="1">
      <c r="A116" s="789"/>
      <c r="B116" s="789"/>
      <c r="C116" s="771" t="s">
        <v>47</v>
      </c>
      <c r="D116" s="770">
        <f>SUM(D117:D118)</f>
        <v>302400000</v>
      </c>
      <c r="E116" s="798"/>
    </row>
    <row r="117" spans="1:5" s="77" customFormat="1" ht="12" customHeight="1">
      <c r="A117" s="94"/>
      <c r="B117" s="94"/>
      <c r="C117" s="46"/>
      <c r="D117" s="36">
        <v>273000000</v>
      </c>
      <c r="E117" s="138" t="s">
        <v>225</v>
      </c>
    </row>
    <row r="118" spans="1:5" s="77" customFormat="1" ht="12" customHeight="1">
      <c r="A118" s="788"/>
      <c r="B118" s="788"/>
      <c r="C118" s="32"/>
      <c r="D118" s="19">
        <v>29400000</v>
      </c>
      <c r="E118" s="139" t="s">
        <v>1049</v>
      </c>
    </row>
    <row r="119" spans="1:5" s="77" customFormat="1" ht="12" customHeight="1">
      <c r="A119" s="93"/>
      <c r="B119" s="93"/>
      <c r="C119" s="35">
        <v>4223</v>
      </c>
      <c r="D119" s="101"/>
      <c r="E119" s="149"/>
    </row>
    <row r="120" spans="1:5" s="77" customFormat="1" ht="12" customHeight="1">
      <c r="A120" s="94"/>
      <c r="B120" s="94"/>
      <c r="C120" s="46" t="s">
        <v>48</v>
      </c>
      <c r="D120" s="36">
        <f>SUM(D121:D129)</f>
        <v>450622000</v>
      </c>
      <c r="E120" s="138"/>
    </row>
    <row r="121" spans="1:5" s="77" customFormat="1" ht="12" customHeight="1">
      <c r="A121" s="94"/>
      <c r="B121" s="94"/>
      <c r="C121" s="46"/>
      <c r="D121" s="36">
        <v>44375000</v>
      </c>
      <c r="E121" s="138" t="s">
        <v>325</v>
      </c>
    </row>
    <row r="122" spans="1:5" s="77" customFormat="1" ht="12" customHeight="1">
      <c r="A122" s="94"/>
      <c r="B122" s="94"/>
      <c r="C122" s="46"/>
      <c r="D122" s="36">
        <v>32800000</v>
      </c>
      <c r="E122" s="138" t="s">
        <v>227</v>
      </c>
    </row>
    <row r="123" spans="1:5" s="77" customFormat="1" ht="12" customHeight="1">
      <c r="A123" s="94"/>
      <c r="B123" s="94"/>
      <c r="C123" s="46"/>
      <c r="D123" s="36">
        <v>39460000</v>
      </c>
      <c r="E123" s="138" t="s">
        <v>228</v>
      </c>
    </row>
    <row r="124" spans="1:5" s="77" customFormat="1" ht="12" customHeight="1">
      <c r="A124" s="94"/>
      <c r="B124" s="94"/>
      <c r="C124" s="46"/>
      <c r="D124" s="36">
        <v>34025000</v>
      </c>
      <c r="E124" s="138" t="s">
        <v>229</v>
      </c>
    </row>
    <row r="125" spans="1:5" s="77" customFormat="1" ht="12" customHeight="1">
      <c r="A125" s="94"/>
      <c r="B125" s="94"/>
      <c r="C125" s="46"/>
      <c r="D125" s="36">
        <v>24500000</v>
      </c>
      <c r="E125" s="138" t="s">
        <v>230</v>
      </c>
    </row>
    <row r="126" spans="1:5" s="77" customFormat="1" ht="12" customHeight="1">
      <c r="A126" s="94"/>
      <c r="B126" s="94"/>
      <c r="C126" s="46"/>
      <c r="D126" s="36">
        <v>13000000</v>
      </c>
      <c r="E126" s="138" t="s">
        <v>231</v>
      </c>
    </row>
    <row r="127" spans="1:5" s="77" customFormat="1" ht="12" customHeight="1">
      <c r="A127" s="94"/>
      <c r="B127" s="94"/>
      <c r="C127" s="46"/>
      <c r="D127" s="36">
        <v>117855000</v>
      </c>
      <c r="E127" s="138" t="s">
        <v>232</v>
      </c>
    </row>
    <row r="128" spans="1:5" s="77" customFormat="1" ht="12" customHeight="1">
      <c r="A128" s="94"/>
      <c r="B128" s="94"/>
      <c r="C128" s="46"/>
      <c r="D128" s="36">
        <v>110000000</v>
      </c>
      <c r="E128" s="138" t="s">
        <v>1050</v>
      </c>
    </row>
    <row r="129" spans="1:5" s="77" customFormat="1" ht="12" customHeight="1">
      <c r="A129" s="94"/>
      <c r="B129" s="94"/>
      <c r="C129" s="32"/>
      <c r="D129" s="19">
        <v>34607000</v>
      </c>
      <c r="E129" s="139" t="s">
        <v>226</v>
      </c>
    </row>
    <row r="130" spans="1:5" s="77" customFormat="1" ht="12" customHeight="1">
      <c r="A130" s="93"/>
      <c r="B130" s="93"/>
      <c r="C130" s="37">
        <v>4224</v>
      </c>
      <c r="D130" s="38"/>
      <c r="E130" s="148"/>
    </row>
    <row r="131" spans="1:5" s="77" customFormat="1" ht="12" customHeight="1">
      <c r="A131" s="94"/>
      <c r="B131" s="94"/>
      <c r="C131" s="46" t="s">
        <v>185</v>
      </c>
      <c r="D131" s="120">
        <f>SUM(D132:D132)</f>
        <v>185400000</v>
      </c>
      <c r="E131" s="138"/>
    </row>
    <row r="132" spans="1:5" s="77" customFormat="1" ht="12" customHeight="1">
      <c r="A132" s="94"/>
      <c r="B132" s="94"/>
      <c r="C132" s="46"/>
      <c r="D132" s="120">
        <v>185400000</v>
      </c>
      <c r="E132" s="154" t="s">
        <v>233</v>
      </c>
    </row>
    <row r="133" spans="1:5" s="77" customFormat="1" ht="12" customHeight="1">
      <c r="A133" s="93"/>
      <c r="B133" s="93"/>
      <c r="C133" s="37">
        <v>4225</v>
      </c>
      <c r="D133" s="38"/>
      <c r="E133" s="512"/>
    </row>
    <row r="134" spans="1:5" s="77" customFormat="1" ht="12" customHeight="1">
      <c r="A134" s="94"/>
      <c r="B134" s="94"/>
      <c r="C134" s="46" t="s">
        <v>186</v>
      </c>
      <c r="D134" s="36">
        <f>SUM(D135:D136)</f>
        <v>1202300000</v>
      </c>
      <c r="E134" s="138"/>
    </row>
    <row r="135" spans="1:5" s="77" customFormat="1" ht="12" customHeight="1">
      <c r="A135" s="94"/>
      <c r="B135" s="94"/>
      <c r="C135" s="46"/>
      <c r="D135" s="36">
        <v>577300000</v>
      </c>
      <c r="E135" s="154" t="s">
        <v>235</v>
      </c>
    </row>
    <row r="136" spans="1:5" s="77" customFormat="1" ht="12" customHeight="1">
      <c r="A136" s="94"/>
      <c r="B136" s="94"/>
      <c r="C136" s="32"/>
      <c r="D136" s="19">
        <v>625000000</v>
      </c>
      <c r="E136" s="155" t="s">
        <v>236</v>
      </c>
    </row>
    <row r="137" spans="1:5" s="77" customFormat="1" ht="12" customHeight="1">
      <c r="A137" s="93"/>
      <c r="B137" s="93"/>
      <c r="C137" s="35">
        <v>4226</v>
      </c>
      <c r="D137" s="101"/>
      <c r="E137" s="149"/>
    </row>
    <row r="138" spans="1:5" s="77" customFormat="1" ht="12" customHeight="1">
      <c r="A138" s="94"/>
      <c r="B138" s="94"/>
      <c r="C138" s="46" t="s">
        <v>187</v>
      </c>
      <c r="D138" s="36">
        <f>SUM(D139:D140)</f>
        <v>2497171000</v>
      </c>
      <c r="E138" s="138"/>
    </row>
    <row r="139" spans="1:5" s="77" customFormat="1" ht="12" customHeight="1">
      <c r="A139" s="94"/>
      <c r="B139" s="94"/>
      <c r="C139" s="46"/>
      <c r="D139" s="36">
        <v>1968978000</v>
      </c>
      <c r="E139" s="154" t="s">
        <v>237</v>
      </c>
    </row>
    <row r="140" spans="1:5" s="77" customFormat="1" ht="12" customHeight="1">
      <c r="A140" s="94"/>
      <c r="B140" s="94"/>
      <c r="C140" s="46"/>
      <c r="D140" s="36">
        <v>528193000</v>
      </c>
      <c r="E140" s="154" t="s">
        <v>238</v>
      </c>
    </row>
    <row r="141" spans="1:5" s="77" customFormat="1" ht="12" customHeight="1">
      <c r="A141" s="93"/>
      <c r="B141" s="93"/>
      <c r="C141" s="37">
        <v>4227</v>
      </c>
      <c r="D141" s="38"/>
      <c r="E141" s="148"/>
    </row>
    <row r="142" spans="1:5" s="77" customFormat="1" ht="12" customHeight="1">
      <c r="A142" s="94"/>
      <c r="B142" s="94"/>
      <c r="C142" s="46" t="s">
        <v>49</v>
      </c>
      <c r="D142" s="36">
        <f>SUM(D143:D145)</f>
        <v>203200000</v>
      </c>
      <c r="E142" s="138"/>
    </row>
    <row r="143" spans="1:5" s="77" customFormat="1" ht="12" customHeight="1">
      <c r="A143" s="94"/>
      <c r="B143" s="94"/>
      <c r="C143" s="46"/>
      <c r="D143" s="156">
        <v>29800000</v>
      </c>
      <c r="E143" s="154" t="s">
        <v>239</v>
      </c>
    </row>
    <row r="144" spans="1:5" s="77" customFormat="1" ht="12" customHeight="1">
      <c r="A144" s="94"/>
      <c r="B144" s="94"/>
      <c r="C144" s="46"/>
      <c r="D144" s="156">
        <v>105800000</v>
      </c>
      <c r="E144" s="154" t="s">
        <v>240</v>
      </c>
    </row>
    <row r="145" spans="1:5" s="77" customFormat="1" ht="12" customHeight="1">
      <c r="A145" s="94"/>
      <c r="B145" s="94"/>
      <c r="C145" s="46"/>
      <c r="D145" s="36">
        <v>67600000</v>
      </c>
      <c r="E145" s="154" t="s">
        <v>800</v>
      </c>
    </row>
    <row r="146" spans="1:5" s="77" customFormat="1" ht="12" customHeight="1">
      <c r="A146" s="93"/>
      <c r="B146" s="93"/>
      <c r="C146" s="37">
        <v>4228</v>
      </c>
      <c r="D146" s="38"/>
      <c r="E146" s="148"/>
    </row>
    <row r="147" spans="1:5" s="77" customFormat="1" ht="12" customHeight="1">
      <c r="A147" s="94"/>
      <c r="B147" s="94"/>
      <c r="C147" s="46" t="s">
        <v>50</v>
      </c>
      <c r="D147" s="36">
        <f>SUM(D148:D150)</f>
        <v>256104025</v>
      </c>
      <c r="E147" s="138"/>
    </row>
    <row r="148" spans="1:5" s="77" customFormat="1" ht="12" customHeight="1">
      <c r="A148" s="94"/>
      <c r="B148" s="94"/>
      <c r="C148" s="46"/>
      <c r="D148" s="36">
        <v>117444025</v>
      </c>
      <c r="E148" s="154" t="s">
        <v>326</v>
      </c>
    </row>
    <row r="149" spans="1:5" s="77" customFormat="1" ht="12" customHeight="1">
      <c r="A149" s="94"/>
      <c r="B149" s="94"/>
      <c r="C149" s="46"/>
      <c r="D149" s="36">
        <v>64460000</v>
      </c>
      <c r="E149" s="154" t="s">
        <v>241</v>
      </c>
    </row>
    <row r="150" spans="1:5" s="77" customFormat="1" ht="12" customHeight="1">
      <c r="A150" s="94"/>
      <c r="B150" s="94"/>
      <c r="C150" s="46"/>
      <c r="D150" s="36">
        <v>74200000</v>
      </c>
      <c r="E150" s="154" t="s">
        <v>327</v>
      </c>
    </row>
    <row r="151" spans="1:5" s="77" customFormat="1" ht="12" customHeight="1">
      <c r="A151" s="93"/>
      <c r="B151" s="93"/>
      <c r="C151" s="37">
        <v>4229</v>
      </c>
      <c r="D151" s="38"/>
      <c r="E151" s="148"/>
    </row>
    <row r="152" spans="1:5" s="77" customFormat="1" ht="12" customHeight="1">
      <c r="A152" s="94"/>
      <c r="B152" s="94"/>
      <c r="C152" s="46" t="s">
        <v>188</v>
      </c>
      <c r="D152" s="198">
        <f>SUM(D153:D153)</f>
        <v>13600000</v>
      </c>
      <c r="E152" s="138"/>
    </row>
    <row r="153" spans="1:5" s="77" customFormat="1" ht="12" customHeight="1">
      <c r="A153" s="94"/>
      <c r="B153" s="94"/>
      <c r="C153" s="46"/>
      <c r="D153" s="120">
        <v>13600000</v>
      </c>
      <c r="E153" s="154" t="s">
        <v>1051</v>
      </c>
    </row>
    <row r="154" spans="1:5" s="77" customFormat="1" ht="12" customHeight="1">
      <c r="A154" s="93"/>
      <c r="B154" s="100">
        <v>4230</v>
      </c>
      <c r="C154" s="37"/>
      <c r="D154" s="38"/>
      <c r="E154" s="148"/>
    </row>
    <row r="155" spans="1:5" s="77" customFormat="1" ht="12" customHeight="1">
      <c r="A155" s="789"/>
      <c r="B155" s="814" t="s">
        <v>57</v>
      </c>
      <c r="C155" s="776"/>
      <c r="D155" s="770">
        <f>D157+D163+D166+D173+D179+D182+D189</f>
        <v>1983976430</v>
      </c>
      <c r="E155" s="798"/>
    </row>
    <row r="156" spans="1:5" s="77" customFormat="1" ht="12" customHeight="1">
      <c r="A156" s="811"/>
      <c r="B156" s="821"/>
      <c r="C156" s="777">
        <v>4231</v>
      </c>
      <c r="D156" s="774"/>
      <c r="E156" s="803"/>
    </row>
    <row r="157" spans="1:5" s="77" customFormat="1" ht="12" customHeight="1">
      <c r="A157" s="94"/>
      <c r="B157" s="94"/>
      <c r="C157" s="46" t="s">
        <v>51</v>
      </c>
      <c r="D157" s="36">
        <f>SUM(D158:D161)</f>
        <v>320668000</v>
      </c>
      <c r="E157" s="138"/>
    </row>
    <row r="158" spans="1:5" s="77" customFormat="1" ht="12" customHeight="1">
      <c r="A158" s="94"/>
      <c r="B158" s="94"/>
      <c r="C158" s="46"/>
      <c r="D158" s="36">
        <v>6600000</v>
      </c>
      <c r="E158" s="138" t="s">
        <v>242</v>
      </c>
    </row>
    <row r="159" spans="1:5" s="77" customFormat="1" ht="12" customHeight="1">
      <c r="A159" s="94"/>
      <c r="B159" s="94"/>
      <c r="C159" s="46"/>
      <c r="D159" s="36">
        <v>19400000</v>
      </c>
      <c r="E159" s="138" t="s">
        <v>243</v>
      </c>
    </row>
    <row r="160" spans="1:5" s="77" customFormat="1" ht="12" customHeight="1">
      <c r="A160" s="94"/>
      <c r="B160" s="94"/>
      <c r="C160" s="46"/>
      <c r="D160" s="36">
        <v>79268000</v>
      </c>
      <c r="E160" s="138" t="s">
        <v>390</v>
      </c>
    </row>
    <row r="161" spans="1:5" s="77" customFormat="1" ht="12" customHeight="1">
      <c r="A161" s="94"/>
      <c r="B161" s="94"/>
      <c r="C161" s="46"/>
      <c r="D161" s="36">
        <v>215400000</v>
      </c>
      <c r="E161" s="138" t="s">
        <v>1052</v>
      </c>
    </row>
    <row r="162" spans="1:5" s="77" customFormat="1" ht="12" customHeight="1">
      <c r="A162" s="93"/>
      <c r="B162" s="94"/>
      <c r="C162" s="37">
        <v>4232</v>
      </c>
      <c r="D162" s="38"/>
      <c r="E162" s="148"/>
    </row>
    <row r="163" spans="1:5" s="77" customFormat="1" ht="12" customHeight="1">
      <c r="A163" s="94"/>
      <c r="B163" s="94"/>
      <c r="C163" s="46" t="s">
        <v>52</v>
      </c>
      <c r="D163" s="36">
        <f>SUM(D164:D164)</f>
        <v>61200000</v>
      </c>
      <c r="E163" s="138"/>
    </row>
    <row r="164" spans="1:5" s="77" customFormat="1" ht="12" customHeight="1">
      <c r="A164" s="94"/>
      <c r="B164" s="94"/>
      <c r="C164" s="46"/>
      <c r="D164" s="36">
        <v>61200000</v>
      </c>
      <c r="E164" s="138" t="s">
        <v>244</v>
      </c>
    </row>
    <row r="165" spans="1:5" s="77" customFormat="1" ht="12" customHeight="1">
      <c r="A165" s="93"/>
      <c r="B165" s="93"/>
      <c r="C165" s="37">
        <v>4233</v>
      </c>
      <c r="D165" s="38"/>
      <c r="E165" s="148"/>
    </row>
    <row r="166" spans="1:5" s="77" customFormat="1" ht="12" customHeight="1">
      <c r="A166" s="94"/>
      <c r="B166" s="94"/>
      <c r="C166" s="46" t="s">
        <v>130</v>
      </c>
      <c r="D166" s="36">
        <f>SUM(D167:D171)</f>
        <v>174260000</v>
      </c>
      <c r="E166" s="138"/>
    </row>
    <row r="167" spans="1:5" s="77" customFormat="1" ht="12">
      <c r="A167" s="94"/>
      <c r="B167" s="94"/>
      <c r="C167" s="46"/>
      <c r="D167" s="36">
        <v>50000000</v>
      </c>
      <c r="E167" s="138" t="s">
        <v>801</v>
      </c>
    </row>
    <row r="168" spans="1:5" s="77" customFormat="1" ht="12">
      <c r="A168" s="94"/>
      <c r="B168" s="94"/>
      <c r="C168" s="46"/>
      <c r="D168" s="36">
        <v>29439100</v>
      </c>
      <c r="E168" s="138" t="s">
        <v>802</v>
      </c>
    </row>
    <row r="169" spans="1:5" s="77" customFormat="1" ht="12">
      <c r="A169" s="94"/>
      <c r="B169" s="94"/>
      <c r="C169" s="46"/>
      <c r="D169" s="36">
        <v>17260000</v>
      </c>
      <c r="E169" s="138" t="s">
        <v>1054</v>
      </c>
    </row>
    <row r="170" spans="1:5" s="77" customFormat="1" ht="12">
      <c r="A170" s="94"/>
      <c r="B170" s="94"/>
      <c r="C170" s="46"/>
      <c r="D170" s="36">
        <v>39500000</v>
      </c>
      <c r="E170" s="138" t="s">
        <v>1053</v>
      </c>
    </row>
    <row r="171" spans="1:5" s="77" customFormat="1" ht="12">
      <c r="A171" s="94"/>
      <c r="B171" s="94"/>
      <c r="C171" s="46"/>
      <c r="D171" s="36">
        <v>38060900</v>
      </c>
      <c r="E171" s="138" t="s">
        <v>1055</v>
      </c>
    </row>
    <row r="172" spans="1:5" s="77" customFormat="1" ht="12" customHeight="1">
      <c r="A172" s="94"/>
      <c r="B172" s="94"/>
      <c r="C172" s="37">
        <v>4235</v>
      </c>
      <c r="D172" s="38"/>
      <c r="E172" s="148"/>
    </row>
    <row r="173" spans="1:5" s="77" customFormat="1" ht="12" customHeight="1">
      <c r="A173" s="94"/>
      <c r="B173" s="94"/>
      <c r="C173" s="46" t="s">
        <v>53</v>
      </c>
      <c r="D173" s="36">
        <f>SUM(D174:D177)</f>
        <v>172244900</v>
      </c>
      <c r="E173" s="138"/>
    </row>
    <row r="174" spans="1:5" s="77" customFormat="1" ht="12" customHeight="1">
      <c r="A174" s="94"/>
      <c r="B174" s="94"/>
      <c r="C174" s="46"/>
      <c r="D174" s="36">
        <v>49600000</v>
      </c>
      <c r="E174" s="138" t="s">
        <v>805</v>
      </c>
    </row>
    <row r="175" spans="1:5" s="77" customFormat="1" ht="12" customHeight="1">
      <c r="A175" s="94"/>
      <c r="B175" s="94"/>
      <c r="C175" s="46"/>
      <c r="D175" s="36">
        <v>59000000</v>
      </c>
      <c r="E175" s="138" t="s">
        <v>246</v>
      </c>
    </row>
    <row r="176" spans="1:5" s="77" customFormat="1" ht="12" customHeight="1">
      <c r="A176" s="94"/>
      <c r="B176" s="94"/>
      <c r="C176" s="46"/>
      <c r="D176" s="36">
        <v>52145000</v>
      </c>
      <c r="E176" s="138" t="s">
        <v>803</v>
      </c>
    </row>
    <row r="177" spans="1:5" s="77" customFormat="1" ht="12" customHeight="1">
      <c r="A177" s="94"/>
      <c r="B177" s="94"/>
      <c r="C177" s="46"/>
      <c r="D177" s="36">
        <v>11499900</v>
      </c>
      <c r="E177" s="138" t="s">
        <v>804</v>
      </c>
    </row>
    <row r="178" spans="1:5" s="77" customFormat="1" ht="12" customHeight="1">
      <c r="A178" s="94"/>
      <c r="B178" s="94"/>
      <c r="C178" s="37">
        <v>4236</v>
      </c>
      <c r="D178" s="38"/>
      <c r="E178" s="148"/>
    </row>
    <row r="179" spans="1:5" s="77" customFormat="1" ht="12" customHeight="1">
      <c r="A179" s="94"/>
      <c r="B179" s="94"/>
      <c r="C179" s="46" t="s">
        <v>54</v>
      </c>
      <c r="D179" s="36">
        <f>SUM(D180)</f>
        <v>255985130</v>
      </c>
      <c r="E179" s="138"/>
    </row>
    <row r="180" spans="1:5" s="77" customFormat="1" ht="12" customHeight="1">
      <c r="A180" s="94"/>
      <c r="B180" s="94"/>
      <c r="C180" s="32"/>
      <c r="D180" s="19">
        <v>255985130</v>
      </c>
      <c r="E180" s="139" t="s">
        <v>247</v>
      </c>
    </row>
    <row r="181" spans="1:5" s="77" customFormat="1" ht="12" customHeight="1">
      <c r="A181" s="94"/>
      <c r="B181" s="94"/>
      <c r="C181" s="35">
        <v>4237</v>
      </c>
      <c r="D181" s="101"/>
      <c r="E181" s="149"/>
    </row>
    <row r="182" spans="1:5" s="77" customFormat="1" ht="12" customHeight="1">
      <c r="A182" s="94"/>
      <c r="B182" s="94"/>
      <c r="C182" s="46" t="s">
        <v>190</v>
      </c>
      <c r="D182" s="36">
        <f>SUM(D183:D187)</f>
        <v>297018400</v>
      </c>
      <c r="E182" s="138"/>
    </row>
    <row r="183" spans="1:5" s="77" customFormat="1" ht="12" customHeight="1">
      <c r="A183" s="94"/>
      <c r="B183" s="94"/>
      <c r="C183" s="46"/>
      <c r="D183" s="36">
        <v>30218400</v>
      </c>
      <c r="E183" s="138" t="s">
        <v>248</v>
      </c>
    </row>
    <row r="184" spans="1:5" s="77" customFormat="1" ht="12" customHeight="1">
      <c r="A184" s="94"/>
      <c r="B184" s="94"/>
      <c r="C184" s="46"/>
      <c r="D184" s="36">
        <v>14000000</v>
      </c>
      <c r="E184" s="138" t="s">
        <v>249</v>
      </c>
    </row>
    <row r="185" spans="1:5" s="77" customFormat="1" ht="12" customHeight="1">
      <c r="A185" s="94"/>
      <c r="B185" s="94"/>
      <c r="C185" s="46"/>
      <c r="D185" s="36">
        <v>28000000</v>
      </c>
      <c r="E185" s="138" t="s">
        <v>250</v>
      </c>
    </row>
    <row r="186" spans="1:5" s="77" customFormat="1" ht="12" customHeight="1">
      <c r="A186" s="94"/>
      <c r="B186" s="94"/>
      <c r="C186" s="46"/>
      <c r="D186" s="36">
        <v>118800000</v>
      </c>
      <c r="E186" s="138" t="s">
        <v>806</v>
      </c>
    </row>
    <row r="187" spans="1:5" s="77" customFormat="1" ht="12" customHeight="1">
      <c r="A187" s="94"/>
      <c r="B187" s="94"/>
      <c r="C187" s="32"/>
      <c r="D187" s="19">
        <v>106000000</v>
      </c>
      <c r="E187" s="139" t="s">
        <v>807</v>
      </c>
    </row>
    <row r="188" spans="1:5" s="77" customFormat="1" ht="12" customHeight="1">
      <c r="A188" s="94"/>
      <c r="B188" s="94"/>
      <c r="C188" s="37">
        <v>4239</v>
      </c>
      <c r="D188" s="38"/>
      <c r="E188" s="148"/>
    </row>
    <row r="189" spans="1:5" s="77" customFormat="1" ht="12" customHeight="1">
      <c r="A189" s="94"/>
      <c r="B189" s="94"/>
      <c r="C189" s="46" t="s">
        <v>56</v>
      </c>
      <c r="D189" s="36">
        <f>SUM(D190:D191)</f>
        <v>702600000</v>
      </c>
      <c r="E189" s="138"/>
    </row>
    <row r="190" spans="1:5" s="77" customFormat="1" ht="12" customHeight="1">
      <c r="A190" s="94"/>
      <c r="B190" s="94"/>
      <c r="C190" s="46"/>
      <c r="D190" s="36">
        <v>695000000</v>
      </c>
      <c r="E190" s="138" t="s">
        <v>294</v>
      </c>
    </row>
    <row r="191" spans="1:5" s="77" customFormat="1" ht="12" customHeight="1">
      <c r="A191" s="94"/>
      <c r="B191" s="94"/>
      <c r="C191" s="46"/>
      <c r="D191" s="36">
        <v>7600000</v>
      </c>
      <c r="E191" s="138" t="s">
        <v>252</v>
      </c>
    </row>
    <row r="192" spans="1:5" s="77" customFormat="1" ht="12" customHeight="1">
      <c r="A192" s="100">
        <v>4300</v>
      </c>
      <c r="B192" s="100"/>
      <c r="C192" s="37"/>
      <c r="D192" s="38"/>
      <c r="E192" s="148"/>
    </row>
    <row r="193" spans="1:5" s="77" customFormat="1" ht="12" customHeight="1">
      <c r="A193" s="159" t="s">
        <v>191</v>
      </c>
      <c r="B193" s="128"/>
      <c r="C193" s="32"/>
      <c r="D193" s="19">
        <f>D195+D205</f>
        <v>39758593750</v>
      </c>
      <c r="E193" s="139"/>
    </row>
    <row r="194" spans="1:5" s="77" customFormat="1" ht="12" customHeight="1">
      <c r="A194" s="789"/>
      <c r="B194" s="838">
        <v>4310</v>
      </c>
      <c r="C194" s="56"/>
      <c r="D194" s="98"/>
      <c r="E194" s="172"/>
    </row>
    <row r="195" spans="1:5" s="77" customFormat="1" ht="12" customHeight="1">
      <c r="A195" s="94"/>
      <c r="B195" s="159" t="s">
        <v>192</v>
      </c>
      <c r="C195" s="32"/>
      <c r="D195" s="19">
        <f>D197</f>
        <v>6631094810</v>
      </c>
      <c r="E195" s="139"/>
    </row>
    <row r="196" spans="1:5" s="77" customFormat="1" ht="12" customHeight="1">
      <c r="A196" s="788"/>
      <c r="B196" s="788"/>
      <c r="C196" s="773">
        <v>4311</v>
      </c>
      <c r="D196" s="774"/>
      <c r="E196" s="803"/>
    </row>
    <row r="197" spans="1:5" s="77" customFormat="1" ht="12" customHeight="1">
      <c r="A197" s="94"/>
      <c r="B197" s="113"/>
      <c r="C197" s="46" t="s">
        <v>192</v>
      </c>
      <c r="D197" s="36">
        <f>SUM(D198:D203)</f>
        <v>6631094810</v>
      </c>
      <c r="E197" s="138"/>
    </row>
    <row r="198" spans="1:5" s="77" customFormat="1" ht="12" customHeight="1">
      <c r="A198" s="94"/>
      <c r="B198" s="113"/>
      <c r="C198" s="46"/>
      <c r="D198" s="36">
        <v>5001760000</v>
      </c>
      <c r="E198" s="138" t="s">
        <v>253</v>
      </c>
    </row>
    <row r="199" spans="1:5" s="77" customFormat="1" ht="12" customHeight="1">
      <c r="A199" s="94"/>
      <c r="B199" s="113"/>
      <c r="C199" s="46"/>
      <c r="D199" s="36">
        <v>38542000</v>
      </c>
      <c r="E199" s="138" t="s">
        <v>808</v>
      </c>
    </row>
    <row r="200" spans="1:5" s="77" customFormat="1" ht="12" customHeight="1">
      <c r="A200" s="94"/>
      <c r="B200" s="113"/>
      <c r="C200" s="46"/>
      <c r="D200" s="36">
        <v>65000000</v>
      </c>
      <c r="E200" s="138" t="s">
        <v>254</v>
      </c>
    </row>
    <row r="201" spans="1:5" s="77" customFormat="1" ht="12" customHeight="1">
      <c r="A201" s="94"/>
      <c r="B201" s="113"/>
      <c r="C201" s="46"/>
      <c r="D201" s="36">
        <v>130000000</v>
      </c>
      <c r="E201" s="138" t="s">
        <v>255</v>
      </c>
    </row>
    <row r="202" spans="1:5" s="77" customFormat="1" ht="12" customHeight="1">
      <c r="A202" s="94"/>
      <c r="B202" s="113"/>
      <c r="C202" s="46"/>
      <c r="D202" s="36">
        <v>201320000</v>
      </c>
      <c r="E202" s="138" t="s">
        <v>1056</v>
      </c>
    </row>
    <row r="203" spans="1:5" s="77" customFormat="1" ht="12.75" customHeight="1">
      <c r="A203" s="94"/>
      <c r="B203" s="113"/>
      <c r="C203" s="46"/>
      <c r="D203" s="36">
        <v>1194472810</v>
      </c>
      <c r="E203" s="138" t="s">
        <v>282</v>
      </c>
    </row>
    <row r="204" spans="1:5" s="77" customFormat="1" ht="12" customHeight="1">
      <c r="A204" s="94"/>
      <c r="B204" s="78">
        <v>4320</v>
      </c>
      <c r="C204" s="37"/>
      <c r="D204" s="38"/>
      <c r="E204" s="148"/>
    </row>
    <row r="205" spans="1:5" s="77" customFormat="1" ht="12" customHeight="1">
      <c r="A205" s="94"/>
      <c r="B205" s="159" t="s">
        <v>88</v>
      </c>
      <c r="C205" s="32"/>
      <c r="D205" s="19">
        <f>D207+D220+D227+D236</f>
        <v>33127498940</v>
      </c>
      <c r="E205" s="139"/>
    </row>
    <row r="206" spans="1:5" s="77" customFormat="1" ht="12" customHeight="1">
      <c r="A206" s="94"/>
      <c r="B206" s="94"/>
      <c r="C206" s="37">
        <v>4322</v>
      </c>
      <c r="D206" s="38"/>
      <c r="E206" s="148"/>
    </row>
    <row r="207" spans="1:5" s="77" customFormat="1" ht="12" customHeight="1">
      <c r="A207" s="94"/>
      <c r="B207" s="94"/>
      <c r="C207" s="46" t="s">
        <v>102</v>
      </c>
      <c r="D207" s="36">
        <f>SUM(D208:D218)</f>
        <v>25381441532</v>
      </c>
      <c r="E207" s="138"/>
    </row>
    <row r="208" spans="1:5" s="77" customFormat="1" ht="12" customHeight="1">
      <c r="A208" s="94"/>
      <c r="B208" s="94"/>
      <c r="C208" s="46"/>
      <c r="D208" s="36">
        <v>15386417000</v>
      </c>
      <c r="E208" s="138" t="s">
        <v>140</v>
      </c>
    </row>
    <row r="209" spans="1:5" s="77" customFormat="1" ht="12" customHeight="1">
      <c r="A209" s="94"/>
      <c r="B209" s="94"/>
      <c r="C209" s="46"/>
      <c r="D209" s="36">
        <v>297000000</v>
      </c>
      <c r="E209" s="118" t="s">
        <v>142</v>
      </c>
    </row>
    <row r="210" spans="1:5" s="77" customFormat="1" ht="12" customHeight="1">
      <c r="A210" s="94"/>
      <c r="B210" s="94"/>
      <c r="C210" s="46"/>
      <c r="D210" s="36">
        <v>50600000</v>
      </c>
      <c r="E210" s="118" t="s">
        <v>141</v>
      </c>
    </row>
    <row r="211" spans="1:5" s="77" customFormat="1" ht="12" customHeight="1">
      <c r="A211" s="94"/>
      <c r="B211" s="94"/>
      <c r="C211" s="46"/>
      <c r="D211" s="36">
        <v>356291000</v>
      </c>
      <c r="E211" s="118" t="s">
        <v>152</v>
      </c>
    </row>
    <row r="212" spans="1:5" s="77" customFormat="1" ht="12" customHeight="1">
      <c r="A212" s="94"/>
      <c r="B212" s="94"/>
      <c r="C212" s="46"/>
      <c r="D212" s="36">
        <v>1575513500</v>
      </c>
      <c r="E212" s="118" t="s">
        <v>328</v>
      </c>
    </row>
    <row r="213" spans="1:5" s="77" customFormat="1" ht="12" customHeight="1">
      <c r="A213" s="94"/>
      <c r="B213" s="94"/>
      <c r="C213" s="46"/>
      <c r="D213" s="36">
        <v>2443748500</v>
      </c>
      <c r="E213" s="118" t="s">
        <v>329</v>
      </c>
    </row>
    <row r="214" spans="1:5" s="77" customFormat="1" ht="12" customHeight="1">
      <c r="A214" s="94"/>
      <c r="B214" s="94"/>
      <c r="C214" s="46"/>
      <c r="D214" s="36">
        <v>1198007040</v>
      </c>
      <c r="E214" s="118" t="s">
        <v>154</v>
      </c>
    </row>
    <row r="215" spans="1:5" s="77" customFormat="1" ht="12" customHeight="1">
      <c r="A215" s="94"/>
      <c r="B215" s="94"/>
      <c r="C215" s="46"/>
      <c r="D215" s="36">
        <v>315857000</v>
      </c>
      <c r="E215" s="118" t="s">
        <v>156</v>
      </c>
    </row>
    <row r="216" spans="1:5" s="77" customFormat="1" ht="12" customHeight="1">
      <c r="A216" s="94"/>
      <c r="B216" s="94"/>
      <c r="C216" s="46"/>
      <c r="D216" s="36">
        <v>488174000</v>
      </c>
      <c r="E216" s="118" t="s">
        <v>157</v>
      </c>
    </row>
    <row r="217" spans="1:5" s="77" customFormat="1" ht="12" customHeight="1">
      <c r="A217" s="94"/>
      <c r="B217" s="94"/>
      <c r="C217" s="46"/>
      <c r="D217" s="36">
        <v>67981000</v>
      </c>
      <c r="E217" s="118" t="s">
        <v>158</v>
      </c>
    </row>
    <row r="218" spans="1:5" s="77" customFormat="1" ht="12" customHeight="1">
      <c r="A218" s="94"/>
      <c r="B218" s="94"/>
      <c r="C218" s="46"/>
      <c r="D218" s="36">
        <v>3201852492</v>
      </c>
      <c r="E218" s="138" t="s">
        <v>283</v>
      </c>
    </row>
    <row r="219" spans="1:5" s="77" customFormat="1" ht="12" customHeight="1">
      <c r="A219" s="94"/>
      <c r="B219" s="94"/>
      <c r="C219" s="37">
        <v>4323</v>
      </c>
      <c r="D219" s="38"/>
      <c r="E219" s="148"/>
    </row>
    <row r="220" spans="1:5" s="77" customFormat="1" ht="12" customHeight="1">
      <c r="A220" s="94"/>
      <c r="B220" s="94"/>
      <c r="C220" s="46" t="s">
        <v>131</v>
      </c>
      <c r="D220" s="36">
        <f>SUM(D221:D225)</f>
        <v>1574075881</v>
      </c>
      <c r="E220" s="138"/>
    </row>
    <row r="221" spans="1:5" s="77" customFormat="1" ht="12" customHeight="1">
      <c r="A221" s="94"/>
      <c r="B221" s="94"/>
      <c r="C221" s="46"/>
      <c r="D221" s="36">
        <v>152694000</v>
      </c>
      <c r="E221" s="138" t="s">
        <v>257</v>
      </c>
    </row>
    <row r="222" spans="1:5" s="77" customFormat="1" ht="12" customHeight="1">
      <c r="A222" s="94"/>
      <c r="B222" s="94"/>
      <c r="C222" s="46"/>
      <c r="D222" s="36">
        <v>87800000</v>
      </c>
      <c r="E222" s="138" t="s">
        <v>258</v>
      </c>
    </row>
    <row r="223" spans="1:5" s="77" customFormat="1" ht="12" customHeight="1">
      <c r="A223" s="94"/>
      <c r="B223" s="94"/>
      <c r="C223" s="46"/>
      <c r="D223" s="36">
        <v>144398000</v>
      </c>
      <c r="E223" s="138" t="s">
        <v>410</v>
      </c>
    </row>
    <row r="224" spans="1:5" s="77" customFormat="1" ht="12" customHeight="1">
      <c r="A224" s="94"/>
      <c r="B224" s="94"/>
      <c r="C224" s="46"/>
      <c r="D224" s="36">
        <v>650439000</v>
      </c>
      <c r="E224" s="138" t="s">
        <v>259</v>
      </c>
    </row>
    <row r="225" spans="1:5" s="77" customFormat="1" ht="12" customHeight="1">
      <c r="A225" s="94"/>
      <c r="B225" s="94"/>
      <c r="C225" s="32"/>
      <c r="D225" s="19">
        <v>538744881</v>
      </c>
      <c r="E225" s="139" t="s">
        <v>298</v>
      </c>
    </row>
    <row r="226" spans="1:5" s="77" customFormat="1" ht="12" customHeight="1">
      <c r="A226" s="94"/>
      <c r="B226" s="94"/>
      <c r="C226" s="37">
        <v>4325</v>
      </c>
      <c r="D226" s="38"/>
      <c r="E226" s="148"/>
    </row>
    <row r="227" spans="1:5" s="77" customFormat="1" ht="12" customHeight="1">
      <c r="A227" s="94"/>
      <c r="B227" s="94"/>
      <c r="C227" s="46" t="s">
        <v>193</v>
      </c>
      <c r="D227" s="36">
        <f>SUM(D228:D234)</f>
        <v>4199246518</v>
      </c>
      <c r="E227" s="138"/>
    </row>
    <row r="228" spans="1:5" s="77" customFormat="1" ht="12" customHeight="1">
      <c r="A228" s="94"/>
      <c r="B228" s="94"/>
      <c r="C228" s="46"/>
      <c r="D228" s="36">
        <v>248000000</v>
      </c>
      <c r="E228" s="138" t="s">
        <v>261</v>
      </c>
    </row>
    <row r="229" spans="1:5" s="77" customFormat="1" ht="12" customHeight="1">
      <c r="A229" s="94"/>
      <c r="B229" s="94"/>
      <c r="C229" s="46"/>
      <c r="D229" s="36">
        <v>705517000</v>
      </c>
      <c r="E229" s="138" t="s">
        <v>411</v>
      </c>
    </row>
    <row r="230" spans="1:5" s="77" customFormat="1" ht="12" customHeight="1">
      <c r="A230" s="94"/>
      <c r="B230" s="94"/>
      <c r="C230" s="46"/>
      <c r="D230" s="36">
        <v>108937000</v>
      </c>
      <c r="E230" s="138" t="s">
        <v>262</v>
      </c>
    </row>
    <row r="231" spans="1:5" s="77" customFormat="1" ht="12" customHeight="1">
      <c r="A231" s="94"/>
      <c r="B231" s="94"/>
      <c r="C231" s="46"/>
      <c r="D231" s="36">
        <v>234064000</v>
      </c>
      <c r="E231" s="138" t="s">
        <v>809</v>
      </c>
    </row>
    <row r="232" spans="1:5" s="77" customFormat="1" ht="12" customHeight="1">
      <c r="A232" s="94"/>
      <c r="B232" s="94"/>
      <c r="C232" s="46"/>
      <c r="D232" s="36">
        <v>257786000</v>
      </c>
      <c r="E232" s="138" t="s">
        <v>263</v>
      </c>
    </row>
    <row r="233" spans="1:5" s="77" customFormat="1" ht="12" customHeight="1">
      <c r="A233" s="789"/>
      <c r="B233" s="789"/>
      <c r="C233" s="771"/>
      <c r="D233" s="770">
        <v>2125046518</v>
      </c>
      <c r="E233" s="798" t="s">
        <v>412</v>
      </c>
    </row>
    <row r="234" spans="1:5" s="77" customFormat="1" ht="12" customHeight="1">
      <c r="A234" s="821"/>
      <c r="B234" s="821"/>
      <c r="C234" s="32"/>
      <c r="D234" s="19">
        <v>519896000</v>
      </c>
      <c r="E234" s="139" t="s">
        <v>945</v>
      </c>
    </row>
    <row r="235" spans="1:5" s="77" customFormat="1" ht="12" customHeight="1">
      <c r="A235" s="93"/>
      <c r="B235" s="93"/>
      <c r="C235" s="35">
        <v>4329</v>
      </c>
      <c r="D235" s="101"/>
      <c r="E235" s="149"/>
    </row>
    <row r="236" spans="1:5" s="77" customFormat="1" ht="12" customHeight="1">
      <c r="A236" s="94"/>
      <c r="B236" s="94"/>
      <c r="C236" s="46" t="s">
        <v>132</v>
      </c>
      <c r="D236" s="36">
        <f>SUM(D237:D244)</f>
        <v>1972735009</v>
      </c>
      <c r="E236" s="138"/>
    </row>
    <row r="237" spans="1:5" s="77" customFormat="1" ht="12" customHeight="1">
      <c r="A237" s="94"/>
      <c r="B237" s="94"/>
      <c r="C237" s="46"/>
      <c r="D237" s="36">
        <v>554977000</v>
      </c>
      <c r="E237" s="138" t="s">
        <v>813</v>
      </c>
    </row>
    <row r="238" spans="1:5" s="77" customFormat="1" ht="12" customHeight="1">
      <c r="A238" s="94"/>
      <c r="B238" s="94"/>
      <c r="C238" s="46"/>
      <c r="D238" s="36">
        <v>28580000</v>
      </c>
      <c r="E238" s="138" t="s">
        <v>264</v>
      </c>
    </row>
    <row r="239" spans="1:5" s="77" customFormat="1" ht="12" customHeight="1">
      <c r="A239" s="94"/>
      <c r="B239" s="94"/>
      <c r="C239" s="46"/>
      <c r="D239" s="36">
        <v>238915000</v>
      </c>
      <c r="E239" s="138" t="s">
        <v>811</v>
      </c>
    </row>
    <row r="240" spans="1:5" s="77" customFormat="1" ht="12" customHeight="1">
      <c r="A240" s="94"/>
      <c r="B240" s="94"/>
      <c r="C240" s="46"/>
      <c r="D240" s="36">
        <v>960637000</v>
      </c>
      <c r="E240" s="138" t="s">
        <v>810</v>
      </c>
    </row>
    <row r="241" spans="1:5" s="77" customFormat="1" ht="12" customHeight="1">
      <c r="A241" s="94"/>
      <c r="B241" s="94"/>
      <c r="C241" s="46"/>
      <c r="D241" s="36">
        <v>21024000</v>
      </c>
      <c r="E241" s="138" t="s">
        <v>284</v>
      </c>
    </row>
    <row r="242" spans="1:5" s="77" customFormat="1" ht="12" customHeight="1">
      <c r="A242" s="94"/>
      <c r="B242" s="94"/>
      <c r="C242" s="46"/>
      <c r="D242" s="36">
        <v>23600000</v>
      </c>
      <c r="E242" s="138" t="s">
        <v>812</v>
      </c>
    </row>
    <row r="243" spans="1:5" s="77" customFormat="1" ht="12" customHeight="1">
      <c r="A243" s="94"/>
      <c r="B243" s="94"/>
      <c r="C243" s="46"/>
      <c r="D243" s="36">
        <v>77200000</v>
      </c>
      <c r="E243" s="138" t="s">
        <v>1057</v>
      </c>
    </row>
    <row r="244" spans="1:5" s="77" customFormat="1" ht="12" customHeight="1">
      <c r="A244" s="94"/>
      <c r="B244" s="94"/>
      <c r="C244" s="46"/>
      <c r="D244" s="36">
        <v>67802009</v>
      </c>
      <c r="E244" s="138" t="s">
        <v>1058</v>
      </c>
    </row>
    <row r="245" spans="1:5" s="77" customFormat="1" ht="12" customHeight="1">
      <c r="A245" s="100">
        <v>4400</v>
      </c>
      <c r="B245" s="100"/>
      <c r="C245" s="37"/>
      <c r="D245" s="107"/>
      <c r="E245" s="151"/>
    </row>
    <row r="246" spans="1:5" s="77" customFormat="1" ht="12" customHeight="1">
      <c r="A246" s="159" t="s">
        <v>90</v>
      </c>
      <c r="B246" s="127"/>
      <c r="C246" s="32"/>
      <c r="D246" s="51">
        <f>D248</f>
        <v>210000000</v>
      </c>
      <c r="E246" s="150"/>
    </row>
    <row r="247" spans="1:5" s="77" customFormat="1" ht="12" customHeight="1">
      <c r="A247" s="94"/>
      <c r="B247" s="100">
        <v>4420</v>
      </c>
      <c r="C247" s="37"/>
      <c r="D247" s="107"/>
      <c r="E247" s="151"/>
    </row>
    <row r="248" spans="1:5" s="77" customFormat="1" ht="12" customHeight="1">
      <c r="A248" s="94"/>
      <c r="B248" s="159" t="s">
        <v>66</v>
      </c>
      <c r="C248" s="42"/>
      <c r="D248" s="19">
        <f>D250</f>
        <v>210000000</v>
      </c>
      <c r="E248" s="139"/>
    </row>
    <row r="249" spans="1:5" s="77" customFormat="1" ht="12" customHeight="1">
      <c r="A249" s="94"/>
      <c r="B249" s="94"/>
      <c r="C249" s="43">
        <v>4421</v>
      </c>
      <c r="D249" s="38"/>
      <c r="E249" s="148"/>
    </row>
    <row r="250" spans="1:5" s="77" customFormat="1" ht="12" customHeight="1">
      <c r="A250" s="94"/>
      <c r="B250" s="94"/>
      <c r="C250" s="46" t="s">
        <v>67</v>
      </c>
      <c r="D250" s="36">
        <f>SUM(D251)</f>
        <v>210000000</v>
      </c>
      <c r="E250" s="138"/>
    </row>
    <row r="251" spans="1:5" s="77" customFormat="1" ht="12" customHeight="1">
      <c r="A251" s="97"/>
      <c r="B251" s="97"/>
      <c r="C251" s="32"/>
      <c r="D251" s="19">
        <v>210000000</v>
      </c>
      <c r="E251" s="139" t="s">
        <v>285</v>
      </c>
    </row>
    <row r="252" spans="1:5" s="77" customFormat="1" ht="12" customHeight="1">
      <c r="A252" s="100">
        <v>1300</v>
      </c>
      <c r="B252" s="100"/>
      <c r="C252" s="37"/>
      <c r="D252" s="45"/>
      <c r="E252" s="153"/>
    </row>
    <row r="253" spans="1:5" s="77" customFormat="1" ht="12" customHeight="1">
      <c r="A253" s="127" t="s">
        <v>196</v>
      </c>
      <c r="B253" s="125"/>
      <c r="C253" s="32"/>
      <c r="D253" s="19">
        <f>D255</f>
        <v>5189347845</v>
      </c>
      <c r="E253" s="139"/>
    </row>
    <row r="254" spans="1:5" s="77" customFormat="1" ht="12" customHeight="1">
      <c r="A254" s="93"/>
      <c r="B254" s="93">
        <v>1310</v>
      </c>
      <c r="C254" s="37"/>
      <c r="D254" s="38"/>
      <c r="E254" s="148"/>
    </row>
    <row r="255" spans="1:5" s="77" customFormat="1" ht="12" customHeight="1">
      <c r="A255" s="126"/>
      <c r="B255" s="127" t="s">
        <v>92</v>
      </c>
      <c r="C255" s="32"/>
      <c r="D255" s="19">
        <f>D257+D268+D274</f>
        <v>5189347845</v>
      </c>
      <c r="E255" s="139"/>
    </row>
    <row r="256" spans="1:5" s="77" customFormat="1" ht="12" customHeight="1">
      <c r="A256" s="87"/>
      <c r="B256" s="93"/>
      <c r="C256" s="37">
        <v>1314</v>
      </c>
      <c r="D256" s="38"/>
      <c r="E256" s="148"/>
    </row>
    <row r="257" spans="1:5" s="77" customFormat="1" ht="12" customHeight="1">
      <c r="A257" s="113"/>
      <c r="B257" s="94"/>
      <c r="C257" s="46" t="s">
        <v>72</v>
      </c>
      <c r="D257" s="36">
        <f>SUM(D258:D266)</f>
        <v>1671642152</v>
      </c>
      <c r="E257" s="138"/>
    </row>
    <row r="258" spans="1:5" s="77" customFormat="1" ht="12" customHeight="1">
      <c r="A258" s="113"/>
      <c r="B258" s="94"/>
      <c r="C258" s="46"/>
      <c r="D258" s="36">
        <v>62171000</v>
      </c>
      <c r="E258" s="138" t="s">
        <v>271</v>
      </c>
    </row>
    <row r="259" spans="1:5" s="77" customFormat="1" ht="12" customHeight="1">
      <c r="A259" s="113"/>
      <c r="B259" s="94"/>
      <c r="C259" s="46"/>
      <c r="D259" s="36">
        <v>259480000</v>
      </c>
      <c r="E259" s="138" t="s">
        <v>272</v>
      </c>
    </row>
    <row r="260" spans="1:5" s="77" customFormat="1" ht="12" customHeight="1">
      <c r="A260" s="113"/>
      <c r="B260" s="94"/>
      <c r="C260" s="46"/>
      <c r="D260" s="36">
        <v>207329000</v>
      </c>
      <c r="E260" s="138" t="s">
        <v>814</v>
      </c>
    </row>
    <row r="261" spans="1:5" s="77" customFormat="1" ht="12" customHeight="1">
      <c r="A261" s="113"/>
      <c r="B261" s="94"/>
      <c r="C261" s="46"/>
      <c r="D261" s="36">
        <v>8350000</v>
      </c>
      <c r="E261" s="138" t="s">
        <v>815</v>
      </c>
    </row>
    <row r="262" spans="1:5" s="77" customFormat="1" ht="12" customHeight="1">
      <c r="A262" s="113"/>
      <c r="B262" s="94"/>
      <c r="C262" s="46"/>
      <c r="D262" s="36">
        <v>520076000</v>
      </c>
      <c r="E262" s="138" t="s">
        <v>816</v>
      </c>
    </row>
    <row r="263" spans="1:5" s="77" customFormat="1" ht="12" customHeight="1">
      <c r="A263" s="113"/>
      <c r="B263" s="94"/>
      <c r="C263" s="46"/>
      <c r="D263" s="36">
        <v>201565000</v>
      </c>
      <c r="E263" s="138" t="s">
        <v>1059</v>
      </c>
    </row>
    <row r="264" spans="1:5" s="77" customFormat="1" ht="12" customHeight="1">
      <c r="A264" s="113"/>
      <c r="B264" s="94"/>
      <c r="C264" s="46"/>
      <c r="D264" s="36">
        <v>155795000</v>
      </c>
      <c r="E264" s="138" t="s">
        <v>1060</v>
      </c>
    </row>
    <row r="265" spans="1:5" s="77" customFormat="1" ht="12" customHeight="1">
      <c r="A265" s="792"/>
      <c r="B265" s="788"/>
      <c r="C265" s="779"/>
      <c r="D265" s="772">
        <v>143721000</v>
      </c>
      <c r="E265" s="797" t="s">
        <v>1061</v>
      </c>
    </row>
    <row r="266" spans="1:5" s="77" customFormat="1" ht="12" customHeight="1">
      <c r="A266" s="113"/>
      <c r="B266" s="94"/>
      <c r="C266" s="32"/>
      <c r="D266" s="19">
        <v>113155152</v>
      </c>
      <c r="E266" s="139" t="s">
        <v>817</v>
      </c>
    </row>
    <row r="267" spans="1:5" s="77" customFormat="1" ht="12" customHeight="1">
      <c r="A267" s="87"/>
      <c r="B267" s="93"/>
      <c r="C267" s="37">
        <v>1315</v>
      </c>
      <c r="D267" s="38"/>
      <c r="E267" s="148"/>
    </row>
    <row r="268" spans="1:5" s="77" customFormat="1" ht="12" customHeight="1">
      <c r="A268" s="113"/>
      <c r="B268" s="94"/>
      <c r="C268" s="46" t="s">
        <v>135</v>
      </c>
      <c r="D268" s="36">
        <f>SUM(D269:D272)</f>
        <v>1256063693</v>
      </c>
      <c r="E268" s="138"/>
    </row>
    <row r="269" spans="1:5" s="77" customFormat="1" ht="12" customHeight="1">
      <c r="A269" s="113"/>
      <c r="B269" s="94"/>
      <c r="C269" s="46"/>
      <c r="D269" s="36">
        <v>350661693</v>
      </c>
      <c r="E269" s="138" t="s">
        <v>1062</v>
      </c>
    </row>
    <row r="270" spans="1:5" s="77" customFormat="1" ht="12" customHeight="1">
      <c r="A270" s="113"/>
      <c r="B270" s="94"/>
      <c r="C270" s="46"/>
      <c r="D270" s="36">
        <v>667005000</v>
      </c>
      <c r="E270" s="138" t="s">
        <v>1063</v>
      </c>
    </row>
    <row r="271" spans="1:5" s="77" customFormat="1" ht="12" customHeight="1">
      <c r="A271" s="113"/>
      <c r="B271" s="94"/>
      <c r="C271" s="46"/>
      <c r="D271" s="36">
        <v>101117000</v>
      </c>
      <c r="E271" s="138" t="s">
        <v>1064</v>
      </c>
    </row>
    <row r="272" spans="1:5" s="77" customFormat="1" ht="12" customHeight="1">
      <c r="A272" s="793"/>
      <c r="B272" s="789"/>
      <c r="C272" s="771"/>
      <c r="D272" s="770">
        <v>137280000</v>
      </c>
      <c r="E272" s="798" t="s">
        <v>1065</v>
      </c>
    </row>
    <row r="273" spans="1:5" s="77" customFormat="1" ht="12" customHeight="1">
      <c r="A273" s="785"/>
      <c r="B273" s="810"/>
      <c r="C273" s="733">
        <v>1317</v>
      </c>
      <c r="D273" s="790"/>
      <c r="E273" s="804"/>
    </row>
    <row r="274" spans="1:5" s="77" customFormat="1" ht="12" customHeight="1">
      <c r="A274" s="113"/>
      <c r="B274" s="94"/>
      <c r="C274" s="46" t="s">
        <v>136</v>
      </c>
      <c r="D274" s="36">
        <f>SUM(D275:D277)</f>
        <v>2261642000</v>
      </c>
      <c r="E274" s="138"/>
    </row>
    <row r="275" spans="1:5" s="77" customFormat="1" ht="12" customHeight="1">
      <c r="A275" s="113"/>
      <c r="B275" s="94"/>
      <c r="C275" s="46"/>
      <c r="D275" s="36">
        <v>2057002000</v>
      </c>
      <c r="E275" s="138" t="s">
        <v>273</v>
      </c>
    </row>
    <row r="276" spans="1:5" s="77" customFormat="1" ht="12" customHeight="1">
      <c r="A276" s="113"/>
      <c r="B276" s="94"/>
      <c r="C276" s="46"/>
      <c r="D276" s="36">
        <v>194640000</v>
      </c>
      <c r="E276" s="138" t="s">
        <v>274</v>
      </c>
    </row>
    <row r="277" spans="1:5" s="77" customFormat="1" ht="12" customHeight="1">
      <c r="A277" s="113"/>
      <c r="B277" s="94"/>
      <c r="C277" s="46"/>
      <c r="D277" s="36">
        <v>10000000</v>
      </c>
      <c r="E277" s="138" t="s">
        <v>818</v>
      </c>
    </row>
    <row r="278" spans="1:5" s="77" customFormat="1" ht="20.25" customHeight="1">
      <c r="A278" s="1190" t="s">
        <v>277</v>
      </c>
      <c r="B278" s="1190"/>
      <c r="C278" s="1190"/>
      <c r="D278" s="171">
        <f>D253+D246+D193+D75+D7</f>
        <v>144413508300</v>
      </c>
      <c r="E278" s="170"/>
    </row>
  </sheetData>
  <mergeCells count="7">
    <mergeCell ref="A278:C278"/>
    <mergeCell ref="A1:E1"/>
    <mergeCell ref="A2:E2"/>
    <mergeCell ref="A3:E3"/>
    <mergeCell ref="A4:C4"/>
    <mergeCell ref="D4:D5"/>
    <mergeCell ref="E4:E5"/>
  </mergeCells>
  <printOptions/>
  <pageMargins left="0.8267716535433072" right="0.7086614173228347" top="0.6299212598425197" bottom="0.3937007874015748" header="0.31496062992125984" footer="0.196850393700787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workbookViewId="0" topLeftCell="A1">
      <selection activeCell="D19" sqref="D19"/>
    </sheetView>
  </sheetViews>
  <sheetFormatPr defaultColWidth="9.25390625" defaultRowHeight="27" customHeight="1"/>
  <cols>
    <col min="1" max="1" width="19.50390625" style="69" customWidth="1"/>
    <col min="2" max="2" width="18.125" style="10" customWidth="1"/>
    <col min="3" max="3" width="19.00390625" style="10" customWidth="1"/>
    <col min="4" max="4" width="21.25390625" style="10" customWidth="1"/>
    <col min="5" max="5" width="45.25390625" style="10" customWidth="1"/>
    <col min="6" max="16384" width="9.25390625" style="10" customWidth="1"/>
  </cols>
  <sheetData>
    <row r="1" spans="1:5" s="9" customFormat="1" ht="30.75" customHeight="1">
      <c r="A1" s="993" t="s">
        <v>778</v>
      </c>
      <c r="B1" s="994"/>
      <c r="C1" s="994"/>
      <c r="D1" s="994"/>
      <c r="E1" s="994"/>
    </row>
    <row r="2" spans="1:5" s="9" customFormat="1" ht="18" customHeight="1">
      <c r="A2" s="1029" t="s">
        <v>943</v>
      </c>
      <c r="B2" s="1029"/>
      <c r="C2" s="1029"/>
      <c r="D2" s="1029"/>
      <c r="E2" s="1029"/>
    </row>
    <row r="3" spans="1:5" ht="27.75" customHeight="1">
      <c r="A3" s="1030" t="s">
        <v>3</v>
      </c>
      <c r="B3" s="1031"/>
      <c r="C3" s="1031"/>
      <c r="D3" s="1031"/>
      <c r="E3" s="1032"/>
    </row>
    <row r="4" spans="1:5" s="7" customFormat="1" ht="21.75" customHeight="1">
      <c r="A4" s="1033" t="s">
        <v>4</v>
      </c>
      <c r="B4" s="1033"/>
      <c r="C4" s="1033"/>
      <c r="D4" s="1034" t="s">
        <v>14</v>
      </c>
      <c r="E4" s="1188" t="s">
        <v>98</v>
      </c>
    </row>
    <row r="5" spans="1:5" s="8" customFormat="1" ht="17.25" customHeight="1">
      <c r="A5" s="405" t="s">
        <v>6</v>
      </c>
      <c r="B5" s="405" t="s">
        <v>7</v>
      </c>
      <c r="C5" s="405" t="s">
        <v>8</v>
      </c>
      <c r="D5" s="1033"/>
      <c r="E5" s="1189"/>
    </row>
    <row r="6" spans="1:5" s="6" customFormat="1" ht="12" customHeight="1">
      <c r="A6" s="12">
        <v>5100</v>
      </c>
      <c r="B6" s="13"/>
      <c r="C6" s="13"/>
      <c r="D6" s="13"/>
      <c r="E6" s="13"/>
    </row>
    <row r="7" spans="1:5" s="15" customFormat="1" ht="12" customHeight="1">
      <c r="A7" s="404" t="s">
        <v>115</v>
      </c>
      <c r="B7" s="412"/>
      <c r="C7" s="412"/>
      <c r="D7" s="14">
        <f>D9</f>
        <v>5277293000</v>
      </c>
      <c r="E7" s="412"/>
    </row>
    <row r="8" spans="1:5" s="15" customFormat="1" ht="12" customHeight="1">
      <c r="A8" s="34"/>
      <c r="B8" s="22" t="s">
        <v>119</v>
      </c>
      <c r="C8" s="130"/>
      <c r="D8" s="17"/>
      <c r="E8" s="130"/>
    </row>
    <row r="9" spans="1:5" s="15" customFormat="1" ht="12" customHeight="1">
      <c r="A9" s="34"/>
      <c r="B9" s="396" t="s">
        <v>164</v>
      </c>
      <c r="C9" s="412"/>
      <c r="D9" s="14">
        <f>D11</f>
        <v>5277293000</v>
      </c>
      <c r="E9" s="412"/>
    </row>
    <row r="10" spans="1:5" s="25" customFormat="1" ht="12" customHeight="1">
      <c r="A10" s="34"/>
      <c r="B10" s="121"/>
      <c r="C10" s="16" t="s">
        <v>165</v>
      </c>
      <c r="D10" s="23"/>
      <c r="E10" s="16"/>
    </row>
    <row r="11" spans="1:5" s="15" customFormat="1" ht="12" customHeight="1">
      <c r="A11" s="34"/>
      <c r="B11" s="121"/>
      <c r="C11" s="467" t="s">
        <v>166</v>
      </c>
      <c r="D11" s="119">
        <f>SUM(D12:D12)</f>
        <v>5277293000</v>
      </c>
      <c r="E11" s="467"/>
    </row>
    <row r="12" spans="1:5" s="15" customFormat="1" ht="12" customHeight="1">
      <c r="A12" s="404"/>
      <c r="B12" s="396"/>
      <c r="C12" s="396"/>
      <c r="D12" s="119">
        <v>5277293000</v>
      </c>
      <c r="E12" s="118" t="s">
        <v>1067</v>
      </c>
    </row>
    <row r="13" spans="1:5" s="15" customFormat="1" ht="12" customHeight="1">
      <c r="A13" s="26">
        <v>5200</v>
      </c>
      <c r="B13" s="130"/>
      <c r="C13" s="130"/>
      <c r="D13" s="17"/>
      <c r="E13" s="130"/>
    </row>
    <row r="14" spans="1:5" s="15" customFormat="1" ht="12" customHeight="1">
      <c r="A14" s="396" t="s">
        <v>167</v>
      </c>
      <c r="B14" s="412"/>
      <c r="C14" s="412"/>
      <c r="D14" s="14">
        <f>D16+D40+D78+D29</f>
        <v>53926668794</v>
      </c>
      <c r="E14" s="412"/>
    </row>
    <row r="15" spans="1:5" s="15" customFormat="1" ht="12" customHeight="1">
      <c r="A15" s="121"/>
      <c r="B15" s="16" t="s">
        <v>93</v>
      </c>
      <c r="C15" s="130"/>
      <c r="D15" s="17"/>
      <c r="E15" s="130"/>
    </row>
    <row r="16" spans="1:5" s="15" customFormat="1" ht="12" customHeight="1">
      <c r="A16" s="141"/>
      <c r="B16" s="396" t="s">
        <v>105</v>
      </c>
      <c r="C16" s="412"/>
      <c r="D16" s="14">
        <f>D18+D21+D25</f>
        <v>10948067140</v>
      </c>
      <c r="E16" s="412"/>
    </row>
    <row r="17" spans="1:5" s="15" customFormat="1" ht="12" customHeight="1">
      <c r="A17" s="141"/>
      <c r="B17" s="396"/>
      <c r="C17" s="118" t="s">
        <v>322</v>
      </c>
      <c r="D17" s="119"/>
      <c r="E17" s="396"/>
    </row>
    <row r="18" spans="1:5" s="15" customFormat="1" ht="12" customHeight="1">
      <c r="A18" s="141"/>
      <c r="B18" s="396"/>
      <c r="C18" s="396" t="s">
        <v>323</v>
      </c>
      <c r="D18" s="119">
        <f>D19</f>
        <v>4485788000</v>
      </c>
      <c r="E18" s="396"/>
    </row>
    <row r="19" spans="1:5" s="15" customFormat="1" ht="12" customHeight="1">
      <c r="A19" s="141"/>
      <c r="B19" s="396"/>
      <c r="C19" s="396"/>
      <c r="D19" s="119">
        <v>4485788000</v>
      </c>
      <c r="E19" s="118" t="s">
        <v>1765</v>
      </c>
    </row>
    <row r="20" spans="1:5" s="6" customFormat="1" ht="12" customHeight="1">
      <c r="A20" s="29"/>
      <c r="B20" s="29"/>
      <c r="C20" s="12">
        <v>5212</v>
      </c>
      <c r="D20" s="13"/>
      <c r="E20" s="12"/>
    </row>
    <row r="21" spans="1:5" s="15" customFormat="1" ht="12" customHeight="1">
      <c r="A21" s="33"/>
      <c r="B21" s="34"/>
      <c r="C21" s="46" t="s">
        <v>168</v>
      </c>
      <c r="D21" s="36">
        <f>SUM(D22:D23)</f>
        <v>3832958000</v>
      </c>
      <c r="E21" s="46"/>
    </row>
    <row r="22" spans="1:5" s="15" customFormat="1" ht="12" customHeight="1">
      <c r="A22" s="33"/>
      <c r="B22" s="34"/>
      <c r="C22" s="46"/>
      <c r="D22" s="36">
        <v>300000000</v>
      </c>
      <c r="E22" s="668" t="s">
        <v>1043</v>
      </c>
    </row>
    <row r="23" spans="1:5" s="15" customFormat="1" ht="12" customHeight="1">
      <c r="A23" s="33"/>
      <c r="B23" s="34"/>
      <c r="C23" s="32"/>
      <c r="D23" s="19">
        <v>3532958000</v>
      </c>
      <c r="E23" s="131" t="s">
        <v>819</v>
      </c>
    </row>
    <row r="24" spans="1:5" s="15" customFormat="1" ht="12" customHeight="1">
      <c r="A24" s="33"/>
      <c r="B24" s="34"/>
      <c r="C24" s="37">
        <v>5216</v>
      </c>
      <c r="D24" s="18"/>
      <c r="E24" s="37"/>
    </row>
    <row r="25" spans="1:5" s="15" customFormat="1" ht="12" customHeight="1">
      <c r="A25" s="33"/>
      <c r="B25" s="34"/>
      <c r="C25" s="46" t="s">
        <v>169</v>
      </c>
      <c r="D25" s="36">
        <f>SUM(D26:D27)</f>
        <v>2629321140</v>
      </c>
      <c r="E25" s="35"/>
    </row>
    <row r="26" spans="1:5" s="15" customFormat="1" ht="12" customHeight="1">
      <c r="A26" s="33"/>
      <c r="B26" s="34"/>
      <c r="C26" s="46"/>
      <c r="D26" s="36">
        <v>673621140</v>
      </c>
      <c r="E26" s="35" t="s">
        <v>324</v>
      </c>
    </row>
    <row r="27" spans="1:5" s="15" customFormat="1" ht="12" customHeight="1">
      <c r="A27" s="33"/>
      <c r="B27" s="31"/>
      <c r="C27" s="46"/>
      <c r="D27" s="36">
        <v>1955700000</v>
      </c>
      <c r="E27" s="35" t="s">
        <v>288</v>
      </c>
    </row>
    <row r="28" spans="1:5" s="15" customFormat="1" ht="12" customHeight="1">
      <c r="A28" s="33"/>
      <c r="B28" s="16" t="s">
        <v>398</v>
      </c>
      <c r="C28" s="40"/>
      <c r="D28" s="18"/>
      <c r="E28" s="37"/>
    </row>
    <row r="29" spans="1:5" s="15" customFormat="1" ht="12" customHeight="1">
      <c r="A29" s="33"/>
      <c r="B29" s="467" t="s">
        <v>399</v>
      </c>
      <c r="C29" s="46"/>
      <c r="D29" s="36">
        <f>D31</f>
        <v>17246619068</v>
      </c>
      <c r="E29" s="35"/>
    </row>
    <row r="30" spans="1:5" s="15" customFormat="1" ht="12" customHeight="1">
      <c r="A30" s="33"/>
      <c r="B30" s="468"/>
      <c r="C30" s="37">
        <v>5222</v>
      </c>
      <c r="D30" s="18"/>
      <c r="E30" s="37"/>
    </row>
    <row r="31" spans="1:5" s="15" customFormat="1" ht="12" customHeight="1">
      <c r="A31" s="33"/>
      <c r="B31" s="468"/>
      <c r="C31" s="46" t="s">
        <v>404</v>
      </c>
      <c r="D31" s="36">
        <f>SUM(D32:D38)</f>
        <v>17246619068</v>
      </c>
      <c r="E31" s="35"/>
    </row>
    <row r="32" spans="1:5" s="15" customFormat="1" ht="12" customHeight="1">
      <c r="A32" s="33"/>
      <c r="B32" s="468"/>
      <c r="C32" s="46"/>
      <c r="D32" s="36">
        <v>7446000000</v>
      </c>
      <c r="E32" s="35" t="s">
        <v>820</v>
      </c>
    </row>
    <row r="33" spans="1:5" s="15" customFormat="1" ht="12" customHeight="1">
      <c r="A33" s="33"/>
      <c r="B33" s="468"/>
      <c r="C33" s="46"/>
      <c r="D33" s="36">
        <v>2700000000</v>
      </c>
      <c r="E33" s="35" t="s">
        <v>821</v>
      </c>
    </row>
    <row r="34" spans="1:5" s="15" customFormat="1" ht="12" customHeight="1">
      <c r="A34" s="33"/>
      <c r="B34" s="468"/>
      <c r="C34" s="46"/>
      <c r="D34" s="36">
        <v>100000000</v>
      </c>
      <c r="E34" s="35" t="s">
        <v>822</v>
      </c>
    </row>
    <row r="35" spans="1:5" s="15" customFormat="1" ht="12" customHeight="1">
      <c r="A35" s="728"/>
      <c r="B35" s="761"/>
      <c r="C35" s="771"/>
      <c r="D35" s="770">
        <v>1800000000</v>
      </c>
      <c r="E35" s="131" t="s">
        <v>823</v>
      </c>
    </row>
    <row r="36" spans="1:5" s="15" customFormat="1" ht="12" customHeight="1">
      <c r="A36" s="210"/>
      <c r="B36" s="747"/>
      <c r="C36" s="775"/>
      <c r="D36" s="769">
        <v>2120619068</v>
      </c>
      <c r="E36" s="773" t="s">
        <v>824</v>
      </c>
    </row>
    <row r="37" spans="1:5" s="15" customFormat="1" ht="12" customHeight="1">
      <c r="A37" s="731"/>
      <c r="B37" s="762"/>
      <c r="C37" s="779"/>
      <c r="D37" s="772">
        <v>280000000</v>
      </c>
      <c r="E37" s="733" t="s">
        <v>825</v>
      </c>
    </row>
    <row r="38" spans="1:5" s="15" customFormat="1" ht="12" customHeight="1">
      <c r="A38" s="33"/>
      <c r="B38" s="468"/>
      <c r="C38" s="46"/>
      <c r="D38" s="36">
        <v>2800000000</v>
      </c>
      <c r="E38" s="35" t="s">
        <v>826</v>
      </c>
    </row>
    <row r="39" spans="1:5" s="15" customFormat="1" ht="12" customHeight="1">
      <c r="A39" s="33"/>
      <c r="B39" s="39">
        <v>5230</v>
      </c>
      <c r="C39" s="40"/>
      <c r="D39" s="41"/>
      <c r="E39" s="40"/>
    </row>
    <row r="40" spans="1:5" s="15" customFormat="1" ht="12" customHeight="1">
      <c r="A40" s="33"/>
      <c r="B40" s="394" t="s">
        <v>170</v>
      </c>
      <c r="C40" s="42"/>
      <c r="D40" s="19">
        <f>D42+D53+D73</f>
        <v>22327197916</v>
      </c>
      <c r="E40" s="42"/>
    </row>
    <row r="41" spans="1:5" s="15" customFormat="1" ht="12" customHeight="1">
      <c r="A41" s="33"/>
      <c r="B41" s="33"/>
      <c r="C41" s="43">
        <v>5231</v>
      </c>
      <c r="D41" s="18"/>
      <c r="E41" s="43"/>
    </row>
    <row r="42" spans="1:5" s="15" customFormat="1" ht="12" customHeight="1">
      <c r="A42" s="33"/>
      <c r="B42" s="33"/>
      <c r="C42" s="133" t="s">
        <v>764</v>
      </c>
      <c r="D42" s="36">
        <f>SUM(D43:D51)</f>
        <v>19320753560</v>
      </c>
      <c r="E42" s="132"/>
    </row>
    <row r="43" spans="1:5" s="15" customFormat="1" ht="12" customHeight="1">
      <c r="A43" s="33"/>
      <c r="B43" s="33"/>
      <c r="C43" s="133"/>
      <c r="D43" s="36">
        <v>16416261820</v>
      </c>
      <c r="E43" s="132" t="s">
        <v>827</v>
      </c>
    </row>
    <row r="44" spans="1:5" s="15" customFormat="1" ht="12" customHeight="1">
      <c r="A44" s="33"/>
      <c r="B44" s="33"/>
      <c r="C44" s="133"/>
      <c r="D44" s="36">
        <v>40000000</v>
      </c>
      <c r="E44" s="132" t="s">
        <v>828</v>
      </c>
    </row>
    <row r="45" spans="1:5" s="15" customFormat="1" ht="12" customHeight="1">
      <c r="A45" s="33"/>
      <c r="B45" s="33"/>
      <c r="C45" s="133"/>
      <c r="D45" s="36">
        <v>1425391740</v>
      </c>
      <c r="E45" s="132" t="s">
        <v>171</v>
      </c>
    </row>
    <row r="46" spans="1:5" s="15" customFormat="1" ht="12" customHeight="1">
      <c r="A46" s="33"/>
      <c r="B46" s="33"/>
      <c r="C46" s="133"/>
      <c r="D46" s="36">
        <v>110000000</v>
      </c>
      <c r="E46" s="132" t="s">
        <v>292</v>
      </c>
    </row>
    <row r="47" spans="1:5" s="15" customFormat="1" ht="12" customHeight="1">
      <c r="A47" s="33"/>
      <c r="B47" s="33"/>
      <c r="C47" s="133"/>
      <c r="D47" s="36">
        <v>1000000000</v>
      </c>
      <c r="E47" s="132" t="s">
        <v>1068</v>
      </c>
    </row>
    <row r="48" spans="1:5" s="15" customFormat="1" ht="12" customHeight="1">
      <c r="A48" s="33"/>
      <c r="B48" s="33"/>
      <c r="C48" s="133"/>
      <c r="D48" s="156">
        <v>105000000</v>
      </c>
      <c r="E48" s="132" t="s">
        <v>172</v>
      </c>
    </row>
    <row r="49" spans="1:5" s="15" customFormat="1" ht="12" customHeight="1">
      <c r="A49" s="33"/>
      <c r="B49" s="33"/>
      <c r="C49" s="133"/>
      <c r="D49" s="672">
        <v>37100000</v>
      </c>
      <c r="E49" s="132" t="s">
        <v>1069</v>
      </c>
    </row>
    <row r="50" spans="1:5" s="15" customFormat="1" ht="12" customHeight="1">
      <c r="A50" s="33"/>
      <c r="B50" s="33"/>
      <c r="C50" s="133"/>
      <c r="D50" s="672">
        <v>37000000</v>
      </c>
      <c r="E50" s="132" t="s">
        <v>1071</v>
      </c>
    </row>
    <row r="51" spans="1:5" s="15" customFormat="1" ht="12" customHeight="1">
      <c r="A51" s="33"/>
      <c r="B51" s="33"/>
      <c r="C51" s="181"/>
      <c r="D51" s="673">
        <v>150000000</v>
      </c>
      <c r="E51" s="182" t="s">
        <v>1070</v>
      </c>
    </row>
    <row r="52" spans="1:5" s="15" customFormat="1" ht="12" customHeight="1">
      <c r="A52" s="33"/>
      <c r="B52" s="34"/>
      <c r="C52" s="35">
        <v>5232</v>
      </c>
      <c r="D52" s="483"/>
      <c r="E52" s="35"/>
    </row>
    <row r="53" spans="1:5" s="15" customFormat="1" ht="12" customHeight="1">
      <c r="A53" s="33"/>
      <c r="B53" s="34"/>
      <c r="C53" s="46" t="s">
        <v>173</v>
      </c>
      <c r="D53" s="674">
        <f>SUM(D54:D71)</f>
        <v>2948275856</v>
      </c>
      <c r="E53" s="35"/>
    </row>
    <row r="54" spans="1:5" s="15" customFormat="1" ht="12" customHeight="1">
      <c r="A54" s="33"/>
      <c r="B54" s="34"/>
      <c r="C54" s="46"/>
      <c r="D54" s="482">
        <v>82800000</v>
      </c>
      <c r="E54" s="484" t="s">
        <v>829</v>
      </c>
    </row>
    <row r="55" spans="1:5" s="15" customFormat="1" ht="12" customHeight="1">
      <c r="A55" s="33"/>
      <c r="B55" s="34"/>
      <c r="C55" s="46"/>
      <c r="D55" s="482">
        <v>481100000</v>
      </c>
      <c r="E55" s="484" t="s">
        <v>830</v>
      </c>
    </row>
    <row r="56" spans="1:5" s="15" customFormat="1" ht="12" customHeight="1">
      <c r="A56" s="33"/>
      <c r="B56" s="34"/>
      <c r="C56" s="46"/>
      <c r="D56" s="482">
        <v>560805000</v>
      </c>
      <c r="E56" s="484" t="s">
        <v>831</v>
      </c>
    </row>
    <row r="57" spans="1:5" s="15" customFormat="1" ht="12" customHeight="1">
      <c r="A57" s="33"/>
      <c r="B57" s="34"/>
      <c r="C57" s="46"/>
      <c r="D57" s="482">
        <v>200000000</v>
      </c>
      <c r="E57" s="484" t="s">
        <v>832</v>
      </c>
    </row>
    <row r="58" spans="1:5" s="15" customFormat="1" ht="12" customHeight="1">
      <c r="A58" s="33"/>
      <c r="B58" s="34"/>
      <c r="C58" s="46"/>
      <c r="D58" s="482">
        <v>3500000</v>
      </c>
      <c r="E58" s="484" t="s">
        <v>833</v>
      </c>
    </row>
    <row r="59" spans="1:5" s="15" customFormat="1" ht="12" customHeight="1">
      <c r="A59" s="33"/>
      <c r="B59" s="34"/>
      <c r="C59" s="46"/>
      <c r="D59" s="482">
        <v>57615000</v>
      </c>
      <c r="E59" s="484" t="s">
        <v>834</v>
      </c>
    </row>
    <row r="60" spans="1:5" s="15" customFormat="1" ht="12" customHeight="1">
      <c r="A60" s="33"/>
      <c r="B60" s="34"/>
      <c r="C60" s="46"/>
      <c r="D60" s="482">
        <v>116800000</v>
      </c>
      <c r="E60" s="484" t="s">
        <v>835</v>
      </c>
    </row>
    <row r="61" spans="1:5" s="15" customFormat="1" ht="12" customHeight="1">
      <c r="A61" s="33"/>
      <c r="B61" s="34"/>
      <c r="C61" s="46"/>
      <c r="D61" s="482">
        <v>33000000</v>
      </c>
      <c r="E61" s="484" t="s">
        <v>836</v>
      </c>
    </row>
    <row r="62" spans="1:5" s="15" customFormat="1" ht="12" customHeight="1">
      <c r="A62" s="33"/>
      <c r="B62" s="34"/>
      <c r="C62" s="46"/>
      <c r="D62" s="482">
        <v>15000000</v>
      </c>
      <c r="E62" s="484" t="s">
        <v>837</v>
      </c>
    </row>
    <row r="63" spans="1:5" s="15" customFormat="1" ht="12" customHeight="1">
      <c r="A63" s="33"/>
      <c r="B63" s="34"/>
      <c r="C63" s="46"/>
      <c r="D63" s="482">
        <v>1278060</v>
      </c>
      <c r="E63" s="484" t="s">
        <v>838</v>
      </c>
    </row>
    <row r="64" spans="1:5" s="15" customFormat="1" ht="12" customHeight="1">
      <c r="A64" s="33"/>
      <c r="B64" s="34"/>
      <c r="C64" s="46"/>
      <c r="D64" s="482">
        <v>338200000</v>
      </c>
      <c r="E64" s="484" t="s">
        <v>839</v>
      </c>
    </row>
    <row r="65" spans="1:5" s="15" customFormat="1" ht="12" customHeight="1">
      <c r="A65" s="33"/>
      <c r="B65" s="34"/>
      <c r="C65" s="46"/>
      <c r="D65" s="482">
        <v>182000000</v>
      </c>
      <c r="E65" s="484" t="s">
        <v>840</v>
      </c>
    </row>
    <row r="66" spans="1:5" s="15" customFormat="1" ht="12" customHeight="1">
      <c r="A66" s="33"/>
      <c r="B66" s="34"/>
      <c r="C66" s="46"/>
      <c r="D66" s="482">
        <v>154140000</v>
      </c>
      <c r="E66" s="484" t="s">
        <v>841</v>
      </c>
    </row>
    <row r="67" spans="1:5" s="15" customFormat="1" ht="12" customHeight="1">
      <c r="A67" s="33"/>
      <c r="B67" s="34"/>
      <c r="C67" s="46"/>
      <c r="D67" s="482">
        <v>81439000</v>
      </c>
      <c r="E67" s="484" t="s">
        <v>842</v>
      </c>
    </row>
    <row r="68" spans="1:5" s="15" customFormat="1" ht="12" customHeight="1">
      <c r="A68" s="33"/>
      <c r="B68" s="34"/>
      <c r="C68" s="46"/>
      <c r="D68" s="482">
        <v>27722626</v>
      </c>
      <c r="E68" s="484" t="s">
        <v>1072</v>
      </c>
    </row>
    <row r="69" spans="1:5" s="15" customFormat="1" ht="12" customHeight="1">
      <c r="A69" s="33"/>
      <c r="B69" s="34"/>
      <c r="C69" s="35"/>
      <c r="D69" s="482">
        <v>159876170</v>
      </c>
      <c r="E69" s="484" t="s">
        <v>843</v>
      </c>
    </row>
    <row r="70" spans="1:5" s="15" customFormat="1" ht="12" customHeight="1">
      <c r="A70" s="33"/>
      <c r="B70" s="34"/>
      <c r="C70" s="35"/>
      <c r="D70" s="482">
        <v>193000000</v>
      </c>
      <c r="E70" s="484" t="s">
        <v>844</v>
      </c>
    </row>
    <row r="71" spans="1:5" s="15" customFormat="1" ht="12" customHeight="1">
      <c r="A71" s="728"/>
      <c r="B71" s="729"/>
      <c r="C71" s="131"/>
      <c r="D71" s="850">
        <v>260000000</v>
      </c>
      <c r="E71" s="485" t="s">
        <v>845</v>
      </c>
    </row>
    <row r="72" spans="1:5" s="15" customFormat="1" ht="12" customHeight="1">
      <c r="A72" s="33"/>
      <c r="B72" s="34"/>
      <c r="C72" s="733">
        <v>5233</v>
      </c>
      <c r="D72" s="849"/>
      <c r="E72" s="484"/>
    </row>
    <row r="73" spans="1:5" s="15" customFormat="1" ht="12" customHeight="1">
      <c r="A73" s="731"/>
      <c r="B73" s="732"/>
      <c r="C73" s="779" t="s">
        <v>846</v>
      </c>
      <c r="D73" s="839">
        <f>SUM(D74:D76)</f>
        <v>58168500</v>
      </c>
      <c r="E73" s="484"/>
    </row>
    <row r="74" spans="1:5" s="15" customFormat="1" ht="12" customHeight="1">
      <c r="A74" s="731"/>
      <c r="B74" s="732"/>
      <c r="C74" s="779"/>
      <c r="D74" s="839">
        <v>8168500</v>
      </c>
      <c r="E74" s="484" t="s">
        <v>847</v>
      </c>
    </row>
    <row r="75" spans="1:5" s="15" customFormat="1" ht="12" customHeight="1">
      <c r="A75" s="731"/>
      <c r="B75" s="732"/>
      <c r="C75" s="733"/>
      <c r="D75" s="839">
        <v>20000000</v>
      </c>
      <c r="E75" s="484" t="s">
        <v>848</v>
      </c>
    </row>
    <row r="76" spans="1:5" s="15" customFormat="1" ht="12" customHeight="1">
      <c r="A76" s="33"/>
      <c r="B76" s="34"/>
      <c r="C76" s="35"/>
      <c r="D76" s="482">
        <v>30000000</v>
      </c>
      <c r="E76" s="484" t="s">
        <v>849</v>
      </c>
    </row>
    <row r="77" spans="1:5" s="122" customFormat="1" ht="12" customHeight="1">
      <c r="A77" s="394"/>
      <c r="B77" s="26">
        <v>5240</v>
      </c>
      <c r="C77" s="40"/>
      <c r="D77" s="41"/>
      <c r="E77" s="40"/>
    </row>
    <row r="78" spans="1:5" s="15" customFormat="1" ht="12" customHeight="1">
      <c r="A78" s="394"/>
      <c r="B78" s="490" t="s">
        <v>174</v>
      </c>
      <c r="C78" s="32"/>
      <c r="D78" s="44">
        <f>D80+D82</f>
        <v>3404784670</v>
      </c>
      <c r="E78" s="32"/>
    </row>
    <row r="79" spans="1:5" s="15" customFormat="1" ht="12" customHeight="1">
      <c r="A79" s="394"/>
      <c r="B79" s="468"/>
      <c r="C79" s="35">
        <v>5241</v>
      </c>
      <c r="D79" s="47"/>
      <c r="E79" s="35"/>
    </row>
    <row r="80" spans="1:5" s="15" customFormat="1" ht="12" customHeight="1">
      <c r="A80" s="394"/>
      <c r="B80" s="404"/>
      <c r="C80" s="46" t="s">
        <v>124</v>
      </c>
      <c r="D80" s="47">
        <f>SUM(D81:D81)</f>
        <v>3284784670</v>
      </c>
      <c r="E80" s="35"/>
    </row>
    <row r="81" spans="1:5" s="15" customFormat="1" ht="12.75" customHeight="1">
      <c r="A81" s="394"/>
      <c r="B81" s="404"/>
      <c r="C81" s="32"/>
      <c r="D81" s="44">
        <v>3284784670</v>
      </c>
      <c r="E81" s="131" t="s">
        <v>385</v>
      </c>
    </row>
    <row r="82" spans="1:5" s="15" customFormat="1" ht="12.75" customHeight="1">
      <c r="A82" s="526"/>
      <c r="B82" s="671"/>
      <c r="C82" s="35">
        <v>5242</v>
      </c>
      <c r="D82" s="47">
        <f>D83</f>
        <v>120000000</v>
      </c>
      <c r="E82" s="35"/>
    </row>
    <row r="83" spans="1:5" s="15" customFormat="1" ht="12.75" customHeight="1">
      <c r="A83" s="526"/>
      <c r="B83" s="671"/>
      <c r="C83" s="46" t="s">
        <v>1073</v>
      </c>
      <c r="D83" s="47">
        <v>120000000</v>
      </c>
      <c r="E83" s="35" t="s">
        <v>1074</v>
      </c>
    </row>
    <row r="84" spans="1:5" s="15" customFormat="1" ht="12" customHeight="1">
      <c r="A84" s="39">
        <v>5300</v>
      </c>
      <c r="B84" s="26"/>
      <c r="C84" s="37"/>
      <c r="D84" s="38"/>
      <c r="E84" s="45"/>
    </row>
    <row r="85" spans="1:5" s="15" customFormat="1" ht="12" customHeight="1">
      <c r="A85" s="394" t="s">
        <v>18</v>
      </c>
      <c r="B85" s="204"/>
      <c r="C85" s="42"/>
      <c r="D85" s="19">
        <f>D87+D101+D109</f>
        <v>12789487440</v>
      </c>
      <c r="E85" s="19"/>
    </row>
    <row r="86" spans="1:5" s="15" customFormat="1" ht="12" customHeight="1">
      <c r="A86" s="33"/>
      <c r="B86" s="26">
        <v>5310</v>
      </c>
      <c r="C86" s="49"/>
      <c r="D86" s="18"/>
      <c r="E86" s="18"/>
    </row>
    <row r="87" spans="1:5" s="15" customFormat="1" ht="12" customHeight="1">
      <c r="A87" s="33"/>
      <c r="B87" s="46" t="s">
        <v>76</v>
      </c>
      <c r="C87" s="42"/>
      <c r="D87" s="19">
        <f>D89</f>
        <v>3859660000</v>
      </c>
      <c r="E87" s="19"/>
    </row>
    <row r="88" spans="1:5" s="15" customFormat="1" ht="12" customHeight="1">
      <c r="A88" s="33"/>
      <c r="B88" s="34"/>
      <c r="C88" s="37">
        <v>5312</v>
      </c>
      <c r="D88" s="18"/>
      <c r="E88" s="50"/>
    </row>
    <row r="89" spans="1:5" s="15" customFormat="1" ht="12" customHeight="1">
      <c r="A89" s="33"/>
      <c r="B89" s="34"/>
      <c r="C89" s="46" t="s">
        <v>175</v>
      </c>
      <c r="D89" s="36">
        <f>SUM(D90:D99)</f>
        <v>3859660000</v>
      </c>
      <c r="E89" s="88"/>
    </row>
    <row r="90" spans="1:5" s="15" customFormat="1" ht="12" customHeight="1">
      <c r="A90" s="33"/>
      <c r="B90" s="34"/>
      <c r="C90" s="35"/>
      <c r="D90" s="36">
        <v>3564120000</v>
      </c>
      <c r="E90" s="118" t="s">
        <v>204</v>
      </c>
    </row>
    <row r="91" spans="1:5" s="15" customFormat="1" ht="12" customHeight="1">
      <c r="A91" s="33"/>
      <c r="B91" s="34"/>
      <c r="C91" s="35"/>
      <c r="D91" s="36">
        <v>9380000</v>
      </c>
      <c r="E91" s="118" t="s">
        <v>142</v>
      </c>
    </row>
    <row r="92" spans="1:5" s="15" customFormat="1" ht="12" customHeight="1">
      <c r="A92" s="33"/>
      <c r="B92" s="34"/>
      <c r="C92" s="35"/>
      <c r="D92" s="36">
        <v>4480000</v>
      </c>
      <c r="E92" s="118" t="s">
        <v>141</v>
      </c>
    </row>
    <row r="93" spans="1:5" s="15" customFormat="1" ht="12" customHeight="1">
      <c r="A93" s="33"/>
      <c r="B93" s="34"/>
      <c r="C93" s="35"/>
      <c r="D93" s="36">
        <v>42490000</v>
      </c>
      <c r="E93" s="118" t="s">
        <v>152</v>
      </c>
    </row>
    <row r="94" spans="1:5" s="15" customFormat="1" ht="12" customHeight="1">
      <c r="A94" s="33"/>
      <c r="B94" s="34"/>
      <c r="C94" s="35"/>
      <c r="D94" s="36">
        <v>16240000</v>
      </c>
      <c r="E94" s="118" t="s">
        <v>153</v>
      </c>
    </row>
    <row r="95" spans="1:5" s="15" customFormat="1" ht="12" customHeight="1">
      <c r="A95" s="33"/>
      <c r="B95" s="34"/>
      <c r="C95" s="35"/>
      <c r="D95" s="36">
        <v>59500000</v>
      </c>
      <c r="E95" s="118" t="s">
        <v>154</v>
      </c>
    </row>
    <row r="96" spans="1:5" s="15" customFormat="1" ht="12" customHeight="1">
      <c r="A96" s="33"/>
      <c r="B96" s="34"/>
      <c r="C96" s="35"/>
      <c r="D96" s="36">
        <v>45150000</v>
      </c>
      <c r="E96" s="118" t="s">
        <v>155</v>
      </c>
    </row>
    <row r="97" spans="1:5" s="15" customFormat="1" ht="12" customHeight="1">
      <c r="A97" s="33"/>
      <c r="B97" s="34"/>
      <c r="C97" s="35"/>
      <c r="D97" s="36">
        <v>2590000</v>
      </c>
      <c r="E97" s="118" t="s">
        <v>143</v>
      </c>
    </row>
    <row r="98" spans="1:5" s="15" customFormat="1" ht="12" customHeight="1">
      <c r="A98" s="33"/>
      <c r="B98" s="34"/>
      <c r="C98" s="35"/>
      <c r="D98" s="36">
        <v>109900000</v>
      </c>
      <c r="E98" s="118" t="s">
        <v>157</v>
      </c>
    </row>
    <row r="99" spans="1:5" s="15" customFormat="1" ht="12" customHeight="1">
      <c r="A99" s="33"/>
      <c r="B99" s="34"/>
      <c r="C99" s="35"/>
      <c r="D99" s="36">
        <v>5810000</v>
      </c>
      <c r="E99" s="118" t="s">
        <v>158</v>
      </c>
    </row>
    <row r="100" spans="1:5" s="15" customFormat="1" ht="12" customHeight="1">
      <c r="A100" s="33"/>
      <c r="B100" s="26">
        <v>5320</v>
      </c>
      <c r="C100" s="40"/>
      <c r="D100" s="18"/>
      <c r="E100" s="50"/>
    </row>
    <row r="101" spans="1:5" s="15" customFormat="1" ht="12" customHeight="1">
      <c r="A101" s="52"/>
      <c r="B101" s="394" t="s">
        <v>19</v>
      </c>
      <c r="C101" s="42"/>
      <c r="D101" s="19">
        <f>D103+D106</f>
        <v>1365873400</v>
      </c>
      <c r="E101" s="19"/>
    </row>
    <row r="102" spans="1:5" s="15" customFormat="1" ht="12" customHeight="1">
      <c r="A102" s="394"/>
      <c r="B102" s="394"/>
      <c r="C102" s="43">
        <v>5321</v>
      </c>
      <c r="D102" s="18"/>
      <c r="E102" s="18"/>
    </row>
    <row r="103" spans="1:5" s="15" customFormat="1" ht="12" customHeight="1">
      <c r="A103" s="34"/>
      <c r="B103" s="404"/>
      <c r="C103" s="46" t="s">
        <v>77</v>
      </c>
      <c r="D103" s="36">
        <f>SUM(D104)</f>
        <v>160000000</v>
      </c>
      <c r="E103" s="47"/>
    </row>
    <row r="104" spans="1:5" s="15" customFormat="1" ht="12" customHeight="1">
      <c r="A104" s="34"/>
      <c r="B104" s="404"/>
      <c r="C104" s="32"/>
      <c r="D104" s="19">
        <v>160000000</v>
      </c>
      <c r="E104" s="137" t="s">
        <v>850</v>
      </c>
    </row>
    <row r="105" spans="1:5" s="15" customFormat="1" ht="12" customHeight="1">
      <c r="A105" s="34"/>
      <c r="B105" s="474"/>
      <c r="C105" s="37">
        <v>5322</v>
      </c>
      <c r="D105" s="18"/>
      <c r="E105" s="41"/>
    </row>
    <row r="106" spans="1:5" s="15" customFormat="1" ht="12" customHeight="1">
      <c r="A106" s="34"/>
      <c r="B106" s="474"/>
      <c r="C106" s="46" t="s">
        <v>106</v>
      </c>
      <c r="D106" s="36">
        <f>SUM(D107:D107)</f>
        <v>1205873400</v>
      </c>
      <c r="E106" s="47"/>
    </row>
    <row r="107" spans="1:5" s="15" customFormat="1" ht="12" customHeight="1">
      <c r="A107" s="729"/>
      <c r="B107" s="761"/>
      <c r="C107" s="771"/>
      <c r="D107" s="770">
        <v>1205873400</v>
      </c>
      <c r="E107" s="756" t="s">
        <v>293</v>
      </c>
    </row>
    <row r="108" spans="1:5" s="15" customFormat="1" ht="12" customHeight="1">
      <c r="A108" s="34"/>
      <c r="B108" s="134">
        <v>5330</v>
      </c>
      <c r="C108" s="779"/>
      <c r="D108" s="772"/>
      <c r="E108" s="743"/>
    </row>
    <row r="109" spans="1:5" s="15" customFormat="1" ht="12" customHeight="1">
      <c r="A109" s="34"/>
      <c r="B109" s="469" t="s">
        <v>20</v>
      </c>
      <c r="C109" s="42"/>
      <c r="D109" s="19">
        <f>D111+D121</f>
        <v>7563954040</v>
      </c>
      <c r="E109" s="19"/>
    </row>
    <row r="110" spans="1:5" s="15" customFormat="1" ht="12" customHeight="1">
      <c r="A110" s="34"/>
      <c r="B110" s="33"/>
      <c r="C110" s="43">
        <v>5331</v>
      </c>
      <c r="D110" s="18"/>
      <c r="E110" s="18"/>
    </row>
    <row r="111" spans="1:5" s="15" customFormat="1" ht="12" customHeight="1">
      <c r="A111" s="34"/>
      <c r="B111" s="33"/>
      <c r="C111" s="46" t="s">
        <v>178</v>
      </c>
      <c r="D111" s="36">
        <f>SUM(D112:D119)</f>
        <v>152220000</v>
      </c>
      <c r="E111" s="36"/>
    </row>
    <row r="112" spans="1:5" s="15" customFormat="1" ht="12" customHeight="1">
      <c r="A112" s="34"/>
      <c r="B112" s="33"/>
      <c r="C112" s="46"/>
      <c r="D112" s="36">
        <v>1500000</v>
      </c>
      <c r="E112" s="118" t="s">
        <v>142</v>
      </c>
    </row>
    <row r="113" spans="1:5" s="15" customFormat="1" ht="12" customHeight="1">
      <c r="A113" s="732"/>
      <c r="B113" s="731"/>
      <c r="C113" s="779"/>
      <c r="D113" s="772">
        <v>1950000</v>
      </c>
      <c r="E113" s="118" t="s">
        <v>141</v>
      </c>
    </row>
    <row r="114" spans="1:5" s="15" customFormat="1" ht="12" customHeight="1">
      <c r="A114" s="732"/>
      <c r="B114" s="731"/>
      <c r="C114" s="779"/>
      <c r="D114" s="772">
        <v>34000000</v>
      </c>
      <c r="E114" s="118" t="s">
        <v>152</v>
      </c>
    </row>
    <row r="115" spans="1:5" s="15" customFormat="1" ht="12" customHeight="1">
      <c r="A115" s="732"/>
      <c r="B115" s="731"/>
      <c r="C115" s="779"/>
      <c r="D115" s="772">
        <v>29500000</v>
      </c>
      <c r="E115" s="118" t="s">
        <v>153</v>
      </c>
    </row>
    <row r="116" spans="1:5" s="15" customFormat="1" ht="12" customHeight="1">
      <c r="A116" s="732"/>
      <c r="B116" s="731"/>
      <c r="C116" s="779"/>
      <c r="D116" s="772">
        <v>68730000</v>
      </c>
      <c r="E116" s="118" t="s">
        <v>155</v>
      </c>
    </row>
    <row r="117" spans="1:5" s="15" customFormat="1" ht="12" customHeight="1">
      <c r="A117" s="34"/>
      <c r="B117" s="33"/>
      <c r="C117" s="46"/>
      <c r="D117" s="36">
        <v>9310000</v>
      </c>
      <c r="E117" s="118" t="s">
        <v>143</v>
      </c>
    </row>
    <row r="118" spans="1:5" s="15" customFormat="1" ht="12" customHeight="1">
      <c r="A118" s="34"/>
      <c r="B118" s="33"/>
      <c r="C118" s="46"/>
      <c r="D118" s="36">
        <v>5650000</v>
      </c>
      <c r="E118" s="118" t="s">
        <v>157</v>
      </c>
    </row>
    <row r="119" spans="1:5" s="15" customFormat="1" ht="12" customHeight="1">
      <c r="A119" s="34"/>
      <c r="B119" s="33"/>
      <c r="C119" s="32"/>
      <c r="D119" s="19">
        <v>1580000</v>
      </c>
      <c r="E119" s="118" t="s">
        <v>158</v>
      </c>
    </row>
    <row r="120" spans="1:5" s="15" customFormat="1" ht="12" customHeight="1">
      <c r="A120" s="34"/>
      <c r="B120" s="33"/>
      <c r="C120" s="53">
        <v>5339</v>
      </c>
      <c r="D120" s="18"/>
      <c r="E120" s="18"/>
    </row>
    <row r="121" spans="1:5" s="15" customFormat="1" ht="12" customHeight="1">
      <c r="A121" s="34"/>
      <c r="B121" s="33"/>
      <c r="C121" s="46" t="s">
        <v>21</v>
      </c>
      <c r="D121" s="36">
        <f>SUM(D122:D137)</f>
        <v>7411734040</v>
      </c>
      <c r="E121" s="36"/>
    </row>
    <row r="122" spans="1:5" s="15" customFormat="1" ht="12" customHeight="1">
      <c r="A122" s="34"/>
      <c r="B122" s="33"/>
      <c r="C122" s="46"/>
      <c r="D122" s="180">
        <v>20000000</v>
      </c>
      <c r="E122" s="484" t="s">
        <v>851</v>
      </c>
    </row>
    <row r="123" spans="1:5" s="15" customFormat="1" ht="12" customHeight="1">
      <c r="A123" s="34"/>
      <c r="B123" s="33"/>
      <c r="C123" s="46"/>
      <c r="D123" s="180">
        <v>244135400</v>
      </c>
      <c r="E123" s="484" t="s">
        <v>177</v>
      </c>
    </row>
    <row r="124" spans="1:5" s="15" customFormat="1" ht="12" customHeight="1">
      <c r="A124" s="34"/>
      <c r="B124" s="33"/>
      <c r="C124" s="46"/>
      <c r="D124" s="180">
        <v>5200000000</v>
      </c>
      <c r="E124" s="484" t="s">
        <v>852</v>
      </c>
    </row>
    <row r="125" spans="1:5" s="15" customFormat="1" ht="12" customHeight="1">
      <c r="A125" s="34"/>
      <c r="B125" s="33"/>
      <c r="C125" s="46"/>
      <c r="D125" s="180">
        <v>210421844</v>
      </c>
      <c r="E125" s="484" t="s">
        <v>853</v>
      </c>
    </row>
    <row r="126" spans="1:5" s="15" customFormat="1" ht="12" customHeight="1">
      <c r="A126" s="34"/>
      <c r="B126" s="33"/>
      <c r="C126" s="46"/>
      <c r="D126" s="180">
        <v>148400000</v>
      </c>
      <c r="E126" s="484" t="s">
        <v>1076</v>
      </c>
    </row>
    <row r="127" spans="1:5" s="15" customFormat="1" ht="12" customHeight="1">
      <c r="A127" s="34"/>
      <c r="B127" s="33"/>
      <c r="C127" s="46"/>
      <c r="D127" s="180">
        <v>62852600</v>
      </c>
      <c r="E127" s="484" t="s">
        <v>176</v>
      </c>
    </row>
    <row r="128" spans="1:5" s="15" customFormat="1" ht="12" customHeight="1">
      <c r="A128" s="34"/>
      <c r="B128" s="33"/>
      <c r="C128" s="46"/>
      <c r="D128" s="180">
        <v>27040000</v>
      </c>
      <c r="E128" s="484" t="s">
        <v>854</v>
      </c>
    </row>
    <row r="129" spans="1:5" s="15" customFormat="1" ht="12" customHeight="1">
      <c r="A129" s="34"/>
      <c r="B129" s="33"/>
      <c r="C129" s="46"/>
      <c r="D129" s="180">
        <v>68740000</v>
      </c>
      <c r="E129" s="484" t="s">
        <v>855</v>
      </c>
    </row>
    <row r="130" spans="1:5" s="15" customFormat="1" ht="12" customHeight="1">
      <c r="A130" s="34"/>
      <c r="B130" s="33"/>
      <c r="C130" s="46"/>
      <c r="D130" s="180">
        <v>300000000</v>
      </c>
      <c r="E130" s="484" t="s">
        <v>856</v>
      </c>
    </row>
    <row r="131" spans="1:5" s="15" customFormat="1" ht="12" customHeight="1">
      <c r="A131" s="34"/>
      <c r="B131" s="33"/>
      <c r="C131" s="46"/>
      <c r="D131" s="180">
        <v>12100000</v>
      </c>
      <c r="E131" s="484" t="s">
        <v>857</v>
      </c>
    </row>
    <row r="132" spans="1:5" s="15" customFormat="1" ht="12" customHeight="1">
      <c r="A132" s="34"/>
      <c r="B132" s="33"/>
      <c r="C132" s="112"/>
      <c r="D132" s="180">
        <v>118800000</v>
      </c>
      <c r="E132" s="484" t="s">
        <v>858</v>
      </c>
    </row>
    <row r="133" spans="1:5" s="15" customFormat="1" ht="12" customHeight="1">
      <c r="A133" s="34"/>
      <c r="B133" s="33"/>
      <c r="C133" s="112"/>
      <c r="D133" s="180">
        <v>8000000</v>
      </c>
      <c r="E133" s="484" t="s">
        <v>859</v>
      </c>
    </row>
    <row r="134" spans="1:5" s="15" customFormat="1" ht="12" customHeight="1">
      <c r="A134" s="34"/>
      <c r="B134" s="33"/>
      <c r="C134" s="112"/>
      <c r="D134" s="180">
        <v>470000000</v>
      </c>
      <c r="E134" s="484" t="s">
        <v>860</v>
      </c>
    </row>
    <row r="135" spans="1:5" s="15" customFormat="1" ht="12" customHeight="1">
      <c r="A135" s="34"/>
      <c r="B135" s="33"/>
      <c r="C135" s="112"/>
      <c r="D135" s="180">
        <v>480146196</v>
      </c>
      <c r="E135" s="484" t="s">
        <v>1075</v>
      </c>
    </row>
    <row r="136" spans="1:5" s="15" customFormat="1" ht="12" customHeight="1">
      <c r="A136" s="34"/>
      <c r="B136" s="33"/>
      <c r="C136" s="112"/>
      <c r="D136" s="180">
        <v>6098000</v>
      </c>
      <c r="E136" s="484" t="s">
        <v>1077</v>
      </c>
    </row>
    <row r="137" spans="1:5" s="15" customFormat="1" ht="12" customHeight="1">
      <c r="A137" s="34"/>
      <c r="B137" s="33"/>
      <c r="C137" s="112"/>
      <c r="D137" s="180">
        <v>35000000</v>
      </c>
      <c r="E137" s="484" t="s">
        <v>861</v>
      </c>
    </row>
    <row r="138" spans="1:5" s="15" customFormat="1" ht="12" customHeight="1">
      <c r="A138" s="26">
        <v>5400</v>
      </c>
      <c r="B138" s="54"/>
      <c r="C138" s="55"/>
      <c r="D138" s="18"/>
      <c r="E138" s="41"/>
    </row>
    <row r="139" spans="1:5" s="15" customFormat="1" ht="12" customHeight="1">
      <c r="A139" s="394" t="s">
        <v>22</v>
      </c>
      <c r="B139" s="204"/>
      <c r="C139" s="32"/>
      <c r="D139" s="19">
        <f>D141+D146</f>
        <v>2547368000</v>
      </c>
      <c r="E139" s="19"/>
    </row>
    <row r="140" spans="1:5" s="15" customFormat="1" ht="12" customHeight="1">
      <c r="A140" s="33"/>
      <c r="B140" s="26">
        <v>5410</v>
      </c>
      <c r="C140" s="40"/>
      <c r="D140" s="18"/>
      <c r="E140" s="18"/>
    </row>
    <row r="141" spans="1:5" s="15" customFormat="1" ht="12" customHeight="1">
      <c r="A141" s="34"/>
      <c r="B141" s="394" t="s">
        <v>23</v>
      </c>
      <c r="C141" s="32"/>
      <c r="D141" s="19">
        <f>D143</f>
        <v>1777774000</v>
      </c>
      <c r="E141" s="19"/>
    </row>
    <row r="142" spans="1:5" s="15" customFormat="1" ht="12" customHeight="1">
      <c r="A142" s="34"/>
      <c r="B142" s="33"/>
      <c r="C142" s="37">
        <v>5411</v>
      </c>
      <c r="D142" s="18"/>
      <c r="E142" s="18"/>
    </row>
    <row r="143" spans="1:5" s="15" customFormat="1" ht="12" customHeight="1">
      <c r="A143" s="729"/>
      <c r="B143" s="729"/>
      <c r="C143" s="771" t="s">
        <v>24</v>
      </c>
      <c r="D143" s="770">
        <f>SUM(D144)</f>
        <v>1777774000</v>
      </c>
      <c r="E143" s="44"/>
    </row>
    <row r="144" spans="1:5" s="15" customFormat="1" ht="12" customHeight="1">
      <c r="A144" s="34"/>
      <c r="B144" s="31"/>
      <c r="C144" s="32"/>
      <c r="D144" s="19">
        <v>1777774000</v>
      </c>
      <c r="E144" s="195" t="s">
        <v>276</v>
      </c>
    </row>
    <row r="145" spans="1:5" s="15" customFormat="1" ht="12" customHeight="1">
      <c r="A145" s="34"/>
      <c r="B145" s="134">
        <v>5420</v>
      </c>
      <c r="C145" s="35"/>
      <c r="D145" s="101"/>
      <c r="E145" s="123"/>
    </row>
    <row r="146" spans="1:5" s="15" customFormat="1" ht="12" customHeight="1">
      <c r="A146" s="34"/>
      <c r="B146" s="46" t="s">
        <v>25</v>
      </c>
      <c r="C146" s="32"/>
      <c r="D146" s="19">
        <f>D148</f>
        <v>769594000</v>
      </c>
      <c r="E146" s="19"/>
    </row>
    <row r="147" spans="1:5" s="15" customFormat="1" ht="12" customHeight="1">
      <c r="A147" s="34"/>
      <c r="B147" s="33"/>
      <c r="C147" s="35">
        <v>5421</v>
      </c>
      <c r="D147" s="36"/>
      <c r="E147" s="36"/>
    </row>
    <row r="148" spans="1:5" s="15" customFormat="1" ht="12" customHeight="1">
      <c r="A148" s="34"/>
      <c r="B148" s="33"/>
      <c r="C148" s="46" t="s">
        <v>179</v>
      </c>
      <c r="D148" s="36">
        <f>SUM(D149:D149)</f>
        <v>769594000</v>
      </c>
      <c r="E148" s="36"/>
    </row>
    <row r="149" spans="1:5" s="15" customFormat="1" ht="12" customHeight="1">
      <c r="A149" s="34"/>
      <c r="B149" s="33"/>
      <c r="C149" s="46"/>
      <c r="D149" s="36">
        <v>769594000</v>
      </c>
      <c r="E149" s="138" t="s">
        <v>1078</v>
      </c>
    </row>
    <row r="150" spans="1:5" s="15" customFormat="1" ht="12" customHeight="1">
      <c r="A150" s="26">
        <v>1200</v>
      </c>
      <c r="B150" s="210"/>
      <c r="C150" s="40"/>
      <c r="D150" s="18"/>
      <c r="E150" s="147"/>
    </row>
    <row r="151" spans="1:5" s="15" customFormat="1" ht="12" customHeight="1">
      <c r="A151" s="760" t="s">
        <v>300</v>
      </c>
      <c r="B151" s="30"/>
      <c r="C151" s="32"/>
      <c r="D151" s="19">
        <f>D153</f>
        <v>29493464671</v>
      </c>
      <c r="E151" s="139"/>
    </row>
    <row r="152" spans="1:5" s="15" customFormat="1" ht="12" customHeight="1">
      <c r="A152" s="732"/>
      <c r="B152" s="727">
        <v>1260</v>
      </c>
      <c r="C152" s="775"/>
      <c r="D152" s="769"/>
      <c r="E152" s="802"/>
    </row>
    <row r="153" spans="1:5" s="15" customFormat="1" ht="12" customHeight="1">
      <c r="A153" s="732"/>
      <c r="B153" s="779" t="s">
        <v>393</v>
      </c>
      <c r="C153" s="779"/>
      <c r="D153" s="772">
        <f>D155+D158+D161+D164</f>
        <v>29493464671</v>
      </c>
      <c r="E153" s="797"/>
    </row>
    <row r="154" spans="1:5" s="15" customFormat="1" ht="12" customHeight="1">
      <c r="A154" s="34"/>
      <c r="B154" s="33"/>
      <c r="C154" s="26">
        <v>1262</v>
      </c>
      <c r="D154" s="18"/>
      <c r="E154" s="147"/>
    </row>
    <row r="155" spans="1:5" s="15" customFormat="1" ht="12" customHeight="1">
      <c r="A155" s="34"/>
      <c r="B155" s="33"/>
      <c r="C155" s="46" t="s">
        <v>748</v>
      </c>
      <c r="D155" s="36">
        <f>SUM(D156)</f>
        <v>4801619000</v>
      </c>
      <c r="E155" s="138"/>
    </row>
    <row r="156" spans="1:5" s="15" customFormat="1" ht="12" customHeight="1">
      <c r="A156" s="34"/>
      <c r="B156" s="33"/>
      <c r="C156" s="46"/>
      <c r="D156" s="36">
        <v>4801619000</v>
      </c>
      <c r="E156" s="138" t="s">
        <v>862</v>
      </c>
    </row>
    <row r="157" spans="1:5" s="15" customFormat="1" ht="12" customHeight="1">
      <c r="A157" s="34"/>
      <c r="B157" s="33"/>
      <c r="C157" s="26">
        <v>1263</v>
      </c>
      <c r="D157" s="18"/>
      <c r="E157" s="147"/>
    </row>
    <row r="158" spans="1:5" s="15" customFormat="1" ht="12" customHeight="1">
      <c r="A158" s="34"/>
      <c r="B158" s="33"/>
      <c r="C158" s="46" t="s">
        <v>400</v>
      </c>
      <c r="D158" s="36">
        <f>SUM(D159)</f>
        <v>13200067671</v>
      </c>
      <c r="E158" s="138"/>
    </row>
    <row r="159" spans="1:5" s="15" customFormat="1" ht="12" customHeight="1">
      <c r="A159" s="34"/>
      <c r="B159" s="33"/>
      <c r="C159" s="46"/>
      <c r="D159" s="36">
        <v>13200067671</v>
      </c>
      <c r="E159" s="138" t="s">
        <v>863</v>
      </c>
    </row>
    <row r="160" spans="1:5" s="15" customFormat="1" ht="12" customHeight="1">
      <c r="A160" s="34"/>
      <c r="B160" s="33"/>
      <c r="C160" s="26">
        <v>1264</v>
      </c>
      <c r="D160" s="18"/>
      <c r="E160" s="147"/>
    </row>
    <row r="161" spans="1:5" s="15" customFormat="1" ht="12" customHeight="1">
      <c r="A161" s="34"/>
      <c r="B161" s="33"/>
      <c r="C161" s="46" t="s">
        <v>750</v>
      </c>
      <c r="D161" s="36">
        <f>SUM(D162)</f>
        <v>5693184000</v>
      </c>
      <c r="E161" s="138"/>
    </row>
    <row r="162" spans="1:5" s="15" customFormat="1" ht="12" customHeight="1">
      <c r="A162" s="34"/>
      <c r="B162" s="33"/>
      <c r="C162" s="46"/>
      <c r="D162" s="36">
        <f>5193184000+500000000</f>
        <v>5693184000</v>
      </c>
      <c r="E162" s="138" t="s">
        <v>864</v>
      </c>
    </row>
    <row r="163" spans="1:5" s="15" customFormat="1" ht="12" customHeight="1">
      <c r="A163" s="34"/>
      <c r="B163" s="33"/>
      <c r="C163" s="26">
        <v>1266</v>
      </c>
      <c r="D163" s="18"/>
      <c r="E163" s="147"/>
    </row>
    <row r="164" spans="1:5" s="15" customFormat="1" ht="12" customHeight="1">
      <c r="A164" s="34"/>
      <c r="B164" s="33"/>
      <c r="C164" s="46" t="s">
        <v>401</v>
      </c>
      <c r="D164" s="36">
        <f>SUM(D165)</f>
        <v>5798594000</v>
      </c>
      <c r="E164" s="138"/>
    </row>
    <row r="165" spans="1:5" s="15" customFormat="1" ht="12" customHeight="1">
      <c r="A165" s="34"/>
      <c r="B165" s="33"/>
      <c r="C165" s="46"/>
      <c r="D165" s="36">
        <v>5798594000</v>
      </c>
      <c r="E165" s="138" t="s">
        <v>865</v>
      </c>
    </row>
    <row r="166" spans="1:5" s="15" customFormat="1" ht="12" customHeight="1">
      <c r="A166" s="26">
        <v>1300</v>
      </c>
      <c r="B166" s="210"/>
      <c r="C166" s="40"/>
      <c r="D166" s="18"/>
      <c r="E166" s="147"/>
    </row>
    <row r="167" spans="1:5" s="15" customFormat="1" ht="12" customHeight="1">
      <c r="A167" s="526" t="s">
        <v>1019</v>
      </c>
      <c r="B167" s="33"/>
      <c r="C167" s="46"/>
      <c r="D167" s="36">
        <f>D169</f>
        <v>499757930</v>
      </c>
      <c r="E167" s="138"/>
    </row>
    <row r="168" spans="1:5" s="15" customFormat="1" ht="12" customHeight="1">
      <c r="A168" s="34"/>
      <c r="B168" s="39">
        <v>1310</v>
      </c>
      <c r="C168" s="40"/>
      <c r="D168" s="18"/>
      <c r="E168" s="147"/>
    </row>
    <row r="169" spans="1:5" s="15" customFormat="1" ht="12" customHeight="1">
      <c r="A169" s="34"/>
      <c r="B169" s="33" t="s">
        <v>1079</v>
      </c>
      <c r="C169" s="46"/>
      <c r="D169" s="36">
        <f>D170+D172</f>
        <v>499757930</v>
      </c>
      <c r="E169" s="138"/>
    </row>
    <row r="170" spans="1:5" s="15" customFormat="1" ht="12" customHeight="1">
      <c r="A170" s="34"/>
      <c r="B170" s="33"/>
      <c r="C170" s="37">
        <v>1316</v>
      </c>
      <c r="D170" s="18">
        <f>D171</f>
        <v>461750000</v>
      </c>
      <c r="E170" s="147"/>
    </row>
    <row r="171" spans="1:5" s="15" customFormat="1" ht="12" customHeight="1">
      <c r="A171" s="34"/>
      <c r="B171" s="33"/>
      <c r="C171" s="46" t="s">
        <v>1080</v>
      </c>
      <c r="D171" s="36">
        <v>461750000</v>
      </c>
      <c r="E171" s="138" t="s">
        <v>1082</v>
      </c>
    </row>
    <row r="172" spans="1:5" s="15" customFormat="1" ht="12" customHeight="1">
      <c r="A172" s="34"/>
      <c r="B172" s="33"/>
      <c r="C172" s="37">
        <v>1317</v>
      </c>
      <c r="D172" s="18">
        <f>D173</f>
        <v>38007930</v>
      </c>
      <c r="E172" s="147"/>
    </row>
    <row r="173" spans="1:5" s="15" customFormat="1" ht="12" customHeight="1">
      <c r="A173" s="34"/>
      <c r="B173" s="33"/>
      <c r="C173" s="46" t="s">
        <v>1081</v>
      </c>
      <c r="D173" s="36">
        <v>38007930</v>
      </c>
      <c r="E173" s="138" t="s">
        <v>1083</v>
      </c>
    </row>
    <row r="174" spans="1:5" s="15" customFormat="1" ht="12" customHeight="1">
      <c r="A174" s="39">
        <v>2200</v>
      </c>
      <c r="B174" s="60"/>
      <c r="C174" s="61"/>
      <c r="D174" s="18"/>
      <c r="E174" s="41"/>
    </row>
    <row r="175" spans="1:5" s="15" customFormat="1" ht="12" customHeight="1">
      <c r="A175" s="394" t="s">
        <v>27</v>
      </c>
      <c r="B175" s="204"/>
      <c r="C175" s="42"/>
      <c r="D175" s="19">
        <f>D177</f>
        <v>78525000</v>
      </c>
      <c r="E175" s="19"/>
    </row>
    <row r="176" spans="1:5" s="15" customFormat="1" ht="12" customHeight="1">
      <c r="A176" s="34"/>
      <c r="B176" s="62">
        <v>2220</v>
      </c>
      <c r="C176" s="60"/>
      <c r="D176" s="18"/>
      <c r="E176" s="41"/>
    </row>
    <row r="177" spans="1:5" s="15" customFormat="1" ht="12" customHeight="1">
      <c r="A177" s="34"/>
      <c r="B177" s="394" t="s">
        <v>107</v>
      </c>
      <c r="C177" s="42"/>
      <c r="D177" s="19">
        <f>D179</f>
        <v>78525000</v>
      </c>
      <c r="E177" s="19"/>
    </row>
    <row r="178" spans="1:5" s="15" customFormat="1" ht="12" customHeight="1">
      <c r="A178" s="34"/>
      <c r="B178" s="33"/>
      <c r="C178" s="43">
        <v>2221</v>
      </c>
      <c r="D178" s="18"/>
      <c r="E178" s="18"/>
    </row>
    <row r="179" spans="1:5" s="15" customFormat="1" ht="12" customHeight="1">
      <c r="A179" s="729"/>
      <c r="B179" s="728"/>
      <c r="C179" s="771" t="s">
        <v>108</v>
      </c>
      <c r="D179" s="770">
        <f>SUM(D180)</f>
        <v>78525000</v>
      </c>
      <c r="E179" s="756"/>
    </row>
    <row r="180" spans="1:5" s="15" customFormat="1" ht="12" customHeight="1">
      <c r="A180" s="31"/>
      <c r="B180" s="30"/>
      <c r="C180" s="32"/>
      <c r="D180" s="19">
        <v>78525000</v>
      </c>
      <c r="E180" s="136" t="s">
        <v>180</v>
      </c>
    </row>
    <row r="181" spans="1:5" s="15" customFormat="1" ht="12" customHeight="1">
      <c r="A181" s="60" t="s">
        <v>16</v>
      </c>
      <c r="B181" s="140"/>
      <c r="C181" s="66"/>
      <c r="D181" s="67">
        <f>D183</f>
        <v>2499124966</v>
      </c>
      <c r="E181" s="67"/>
    </row>
    <row r="182" spans="1:5" s="15" customFormat="1" ht="12" customHeight="1">
      <c r="A182" s="33"/>
      <c r="B182" s="39">
        <v>1100</v>
      </c>
      <c r="C182" s="66"/>
      <c r="D182" s="67"/>
      <c r="E182" s="67"/>
    </row>
    <row r="183" spans="1:5" s="15" customFormat="1" ht="12" customHeight="1">
      <c r="A183" s="33"/>
      <c r="B183" s="394" t="s">
        <v>28</v>
      </c>
      <c r="C183" s="68"/>
      <c r="D183" s="19">
        <f>D185</f>
        <v>2499124966</v>
      </c>
      <c r="E183" s="19"/>
    </row>
    <row r="184" spans="1:5" s="15" customFormat="1" ht="12" customHeight="1">
      <c r="A184" s="33"/>
      <c r="B184" s="33"/>
      <c r="C184" s="37">
        <v>1100</v>
      </c>
      <c r="D184" s="18"/>
      <c r="E184" s="18"/>
    </row>
    <row r="185" spans="1:5" s="15" customFormat="1" ht="12" customHeight="1">
      <c r="A185" s="33"/>
      <c r="B185" s="30"/>
      <c r="C185" s="32" t="s">
        <v>28</v>
      </c>
      <c r="D185" s="19">
        <v>2499124966</v>
      </c>
      <c r="E185" s="139" t="s">
        <v>278</v>
      </c>
    </row>
    <row r="186" spans="1:5" s="15" customFormat="1" ht="18" customHeight="1">
      <c r="A186" s="1190" t="s">
        <v>9</v>
      </c>
      <c r="B186" s="1190"/>
      <c r="C186" s="1190"/>
      <c r="D186" s="171">
        <f>D7+D14+D85+D139+D151+D167+D175+D181</f>
        <v>107111689801</v>
      </c>
      <c r="E186" s="170"/>
    </row>
  </sheetData>
  <mergeCells count="7">
    <mergeCell ref="A186:C186"/>
    <mergeCell ref="E4:E5"/>
    <mergeCell ref="A1:E1"/>
    <mergeCell ref="A2:E2"/>
    <mergeCell ref="A3:E3"/>
    <mergeCell ref="A4:C4"/>
    <mergeCell ref="D4:D5"/>
  </mergeCells>
  <printOptions/>
  <pageMargins left="0.629921259842519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view="pageLayout" workbookViewId="0" topLeftCell="A290">
      <selection activeCell="D314" sqref="D314"/>
    </sheetView>
  </sheetViews>
  <sheetFormatPr defaultColWidth="9.00390625" defaultRowHeight="14.25"/>
  <cols>
    <col min="1" max="1" width="16.50390625" style="69" customWidth="1"/>
    <col min="2" max="2" width="16.75390625" style="69" customWidth="1"/>
    <col min="3" max="3" width="18.75390625" style="9" customWidth="1"/>
    <col min="4" max="4" width="21.25390625" style="9" customWidth="1"/>
    <col min="5" max="5" width="45.625" style="9" customWidth="1"/>
    <col min="6" max="6" width="16.125" style="9" bestFit="1" customWidth="1"/>
    <col min="7" max="16384" width="9.00390625" style="9" customWidth="1"/>
  </cols>
  <sheetData>
    <row r="1" spans="1:5" ht="31.5" customHeight="1">
      <c r="A1" s="993" t="s">
        <v>778</v>
      </c>
      <c r="B1" s="994"/>
      <c r="C1" s="994"/>
      <c r="D1" s="994"/>
      <c r="E1" s="994"/>
    </row>
    <row r="2" spans="1:5" ht="14.25" customHeight="1">
      <c r="A2" s="995" t="s">
        <v>942</v>
      </c>
      <c r="B2" s="995"/>
      <c r="C2" s="995"/>
      <c r="D2" s="995"/>
      <c r="E2" s="995"/>
    </row>
    <row r="3" spans="1:5" s="72" customFormat="1" ht="25.5">
      <c r="A3" s="1191" t="s">
        <v>10</v>
      </c>
      <c r="B3" s="1191"/>
      <c r="C3" s="1191"/>
      <c r="D3" s="1191"/>
      <c r="E3" s="1191"/>
    </row>
    <row r="4" spans="1:5" s="73" customFormat="1" ht="18.75" customHeight="1">
      <c r="A4" s="1033" t="s">
        <v>4</v>
      </c>
      <c r="B4" s="1033"/>
      <c r="C4" s="1033"/>
      <c r="D4" s="1034" t="s">
        <v>14</v>
      </c>
      <c r="E4" s="1188" t="s">
        <v>98</v>
      </c>
    </row>
    <row r="5" spans="1:5" s="73" customFormat="1" ht="18" customHeight="1">
      <c r="A5" s="405" t="s">
        <v>6</v>
      </c>
      <c r="B5" s="405" t="s">
        <v>7</v>
      </c>
      <c r="C5" s="405" t="s">
        <v>8</v>
      </c>
      <c r="D5" s="1033"/>
      <c r="E5" s="1189"/>
    </row>
    <row r="6" spans="1:5" s="77" customFormat="1" ht="12" customHeight="1">
      <c r="A6" s="206">
        <v>4100</v>
      </c>
      <c r="B6" s="29"/>
      <c r="C6" s="29"/>
      <c r="D6" s="89"/>
      <c r="E6" s="29"/>
    </row>
    <row r="7" spans="1:5" s="77" customFormat="1" ht="12" customHeight="1">
      <c r="A7" s="397" t="s">
        <v>94</v>
      </c>
      <c r="B7" s="403"/>
      <c r="C7" s="207"/>
      <c r="D7" s="36">
        <f>D9+D46</f>
        <v>14417232712</v>
      </c>
      <c r="E7" s="36"/>
    </row>
    <row r="8" spans="1:5" s="77" customFormat="1" ht="12" customHeight="1">
      <c r="A8" s="94"/>
      <c r="B8" s="78">
        <v>4110</v>
      </c>
      <c r="C8" s="79"/>
      <c r="D8" s="18"/>
      <c r="E8" s="18"/>
    </row>
    <row r="9" spans="1:5" s="77" customFormat="1" ht="12" customHeight="1">
      <c r="A9" s="94"/>
      <c r="B9" s="397" t="s">
        <v>78</v>
      </c>
      <c r="C9" s="80"/>
      <c r="D9" s="36">
        <f>D11+D14+D17+D20+D27+D34+D43</f>
        <v>8393618242</v>
      </c>
      <c r="E9" s="36"/>
    </row>
    <row r="10" spans="1:5" s="77" customFormat="1" ht="12" customHeight="1">
      <c r="A10" s="94"/>
      <c r="B10" s="94"/>
      <c r="C10" s="208">
        <v>4111</v>
      </c>
      <c r="D10" s="18"/>
      <c r="E10" s="18"/>
    </row>
    <row r="11" spans="1:5" s="77" customFormat="1" ht="12" customHeight="1">
      <c r="A11" s="94"/>
      <c r="B11" s="94"/>
      <c r="C11" s="144" t="s">
        <v>197</v>
      </c>
      <c r="D11" s="36">
        <f>SUM(D12:D12)</f>
        <v>2817475650</v>
      </c>
      <c r="E11" s="36"/>
    </row>
    <row r="12" spans="1:5" s="77" customFormat="1" ht="12" customHeight="1">
      <c r="A12" s="94"/>
      <c r="B12" s="94"/>
      <c r="C12" s="144"/>
      <c r="D12" s="36">
        <v>2817475650</v>
      </c>
      <c r="E12" s="166" t="s">
        <v>793</v>
      </c>
    </row>
    <row r="13" spans="1:5" s="77" customFormat="1" ht="12" customHeight="1">
      <c r="A13" s="94"/>
      <c r="B13" s="113"/>
      <c r="C13" s="85">
        <v>4112</v>
      </c>
      <c r="D13" s="18"/>
      <c r="E13" s="18"/>
    </row>
    <row r="14" spans="1:5" s="77" customFormat="1" ht="12" customHeight="1">
      <c r="A14" s="94"/>
      <c r="B14" s="113"/>
      <c r="C14" s="145" t="s">
        <v>181</v>
      </c>
      <c r="D14" s="36">
        <f>SUM(D15:D15)</f>
        <v>358743945</v>
      </c>
      <c r="E14" s="36"/>
    </row>
    <row r="15" spans="1:5" s="77" customFormat="1" ht="12" customHeight="1">
      <c r="A15" s="94"/>
      <c r="B15" s="113"/>
      <c r="C15" s="145"/>
      <c r="D15" s="36">
        <v>358743945</v>
      </c>
      <c r="E15" s="80" t="s">
        <v>794</v>
      </c>
    </row>
    <row r="16" spans="1:5" s="77" customFormat="1" ht="12" customHeight="1">
      <c r="A16" s="94"/>
      <c r="B16" s="113"/>
      <c r="C16" s="85">
        <v>4113</v>
      </c>
      <c r="D16" s="18"/>
      <c r="E16" s="18"/>
    </row>
    <row r="17" spans="1:5" s="77" customFormat="1" ht="12" customHeight="1">
      <c r="A17" s="94"/>
      <c r="B17" s="113"/>
      <c r="C17" s="145" t="s">
        <v>30</v>
      </c>
      <c r="D17" s="36">
        <f>SUM(D18:D18)</f>
        <v>418470799</v>
      </c>
      <c r="E17" s="36"/>
    </row>
    <row r="18" spans="1:5" s="77" customFormat="1" ht="12" customHeight="1">
      <c r="A18" s="94"/>
      <c r="B18" s="113"/>
      <c r="C18" s="145"/>
      <c r="D18" s="36">
        <v>418470799</v>
      </c>
      <c r="E18" s="138" t="s">
        <v>1084</v>
      </c>
    </row>
    <row r="19" spans="1:5" s="77" customFormat="1" ht="12" customHeight="1">
      <c r="A19" s="94"/>
      <c r="B19" s="113"/>
      <c r="C19" s="85">
        <v>4114</v>
      </c>
      <c r="D19" s="18"/>
      <c r="E19" s="18"/>
    </row>
    <row r="20" spans="1:5" s="77" customFormat="1" ht="12" customHeight="1">
      <c r="A20" s="94"/>
      <c r="B20" s="113"/>
      <c r="C20" s="145" t="s">
        <v>31</v>
      </c>
      <c r="D20" s="36">
        <f>SUM(D21:D25)</f>
        <v>2721929408</v>
      </c>
      <c r="E20" s="36"/>
    </row>
    <row r="21" spans="1:5" s="77" customFormat="1" ht="12" customHeight="1">
      <c r="A21" s="94"/>
      <c r="B21" s="113"/>
      <c r="C21" s="145"/>
      <c r="D21" s="809">
        <v>2459662963</v>
      </c>
      <c r="E21" s="166" t="s">
        <v>199</v>
      </c>
    </row>
    <row r="22" spans="1:5" s="77" customFormat="1" ht="12" customHeight="1">
      <c r="A22" s="94"/>
      <c r="B22" s="113"/>
      <c r="C22" s="145"/>
      <c r="D22" s="36">
        <v>115118612</v>
      </c>
      <c r="E22" s="138" t="s">
        <v>309</v>
      </c>
    </row>
    <row r="23" spans="1:5" s="77" customFormat="1" ht="12" customHeight="1">
      <c r="A23" s="94"/>
      <c r="B23" s="113"/>
      <c r="C23" s="145"/>
      <c r="D23" s="156">
        <v>108784528</v>
      </c>
      <c r="E23" s="138" t="s">
        <v>201</v>
      </c>
    </row>
    <row r="24" spans="1:5" s="77" customFormat="1" ht="12" customHeight="1">
      <c r="A24" s="94"/>
      <c r="B24" s="113"/>
      <c r="C24" s="145"/>
      <c r="D24" s="156">
        <v>22223532</v>
      </c>
      <c r="E24" s="138" t="s">
        <v>202</v>
      </c>
    </row>
    <row r="25" spans="1:5" s="77" customFormat="1" ht="12" customHeight="1">
      <c r="A25" s="94"/>
      <c r="B25" s="113"/>
      <c r="C25" s="145"/>
      <c r="D25" s="156">
        <v>16139773</v>
      </c>
      <c r="E25" s="138" t="s">
        <v>203</v>
      </c>
    </row>
    <row r="26" spans="1:5" s="77" customFormat="1" ht="12" customHeight="1">
      <c r="A26" s="94"/>
      <c r="B26" s="113"/>
      <c r="C26" s="85">
        <v>4115</v>
      </c>
      <c r="D26" s="18"/>
      <c r="E26" s="18"/>
    </row>
    <row r="27" spans="1:5" s="77" customFormat="1" ht="12" customHeight="1">
      <c r="A27" s="94"/>
      <c r="B27" s="113"/>
      <c r="C27" s="145" t="s">
        <v>32</v>
      </c>
      <c r="D27" s="36">
        <f>SUM(D28:D32)</f>
        <v>1798690440</v>
      </c>
      <c r="E27" s="36"/>
    </row>
    <row r="28" spans="1:5" s="77" customFormat="1" ht="12" customHeight="1">
      <c r="A28" s="94"/>
      <c r="B28" s="113"/>
      <c r="C28" s="145"/>
      <c r="D28" s="36">
        <v>69500000</v>
      </c>
      <c r="E28" s="138" t="s">
        <v>866</v>
      </c>
    </row>
    <row r="29" spans="1:5" s="77" customFormat="1" ht="12" customHeight="1">
      <c r="A29" s="94"/>
      <c r="B29" s="113"/>
      <c r="C29" s="145"/>
      <c r="D29" s="36">
        <v>1472420486</v>
      </c>
      <c r="E29" s="138" t="s">
        <v>867</v>
      </c>
    </row>
    <row r="30" spans="1:5" s="77" customFormat="1" ht="12" customHeight="1">
      <c r="A30" s="94"/>
      <c r="B30" s="113"/>
      <c r="C30" s="145"/>
      <c r="D30" s="36">
        <v>97890000</v>
      </c>
      <c r="E30" s="138" t="s">
        <v>868</v>
      </c>
    </row>
    <row r="31" spans="1:5" s="77" customFormat="1" ht="12" customHeight="1">
      <c r="A31" s="94"/>
      <c r="B31" s="113"/>
      <c r="C31" s="145"/>
      <c r="D31" s="36">
        <v>48000000</v>
      </c>
      <c r="E31" s="138" t="s">
        <v>869</v>
      </c>
    </row>
    <row r="32" spans="1:5" s="77" customFormat="1" ht="12" customHeight="1">
      <c r="A32" s="94"/>
      <c r="B32" s="113"/>
      <c r="C32" s="145"/>
      <c r="D32" s="36">
        <v>110879954</v>
      </c>
      <c r="E32" s="118" t="s">
        <v>870</v>
      </c>
    </row>
    <row r="33" spans="1:5" s="77" customFormat="1" ht="12" customHeight="1">
      <c r="A33" s="94"/>
      <c r="B33" s="113"/>
      <c r="C33" s="85">
        <v>4116</v>
      </c>
      <c r="D33" s="18"/>
      <c r="E33" s="18"/>
    </row>
    <row r="34" spans="1:5" s="77" customFormat="1" ht="12" customHeight="1">
      <c r="A34" s="397"/>
      <c r="B34" s="403"/>
      <c r="C34" s="145" t="s">
        <v>100</v>
      </c>
      <c r="D34" s="36">
        <f>SUM(D35:D41)</f>
        <v>75226000</v>
      </c>
      <c r="E34" s="36"/>
    </row>
    <row r="35" spans="1:5" s="77" customFormat="1" ht="12" customHeight="1">
      <c r="A35" s="471"/>
      <c r="B35" s="473"/>
      <c r="C35" s="83"/>
      <c r="D35" s="19">
        <v>18400000</v>
      </c>
      <c r="E35" s="139" t="s">
        <v>871</v>
      </c>
    </row>
    <row r="36" spans="1:5" s="77" customFormat="1" ht="12" customHeight="1">
      <c r="A36" s="507"/>
      <c r="B36" s="520"/>
      <c r="C36" s="521"/>
      <c r="D36" s="18">
        <v>25200000</v>
      </c>
      <c r="E36" s="16" t="s">
        <v>869</v>
      </c>
    </row>
    <row r="37" spans="1:5" s="77" customFormat="1" ht="12" customHeight="1">
      <c r="A37" s="670"/>
      <c r="B37" s="669"/>
      <c r="C37" s="145"/>
      <c r="D37" s="36">
        <v>4450000</v>
      </c>
      <c r="E37" s="118" t="s">
        <v>1085</v>
      </c>
    </row>
    <row r="38" spans="1:5" s="77" customFormat="1" ht="12" customHeight="1">
      <c r="A38" s="670"/>
      <c r="B38" s="669"/>
      <c r="C38" s="145"/>
      <c r="D38" s="36">
        <v>9900000</v>
      </c>
      <c r="E38" s="118" t="s">
        <v>1086</v>
      </c>
    </row>
    <row r="39" spans="1:5" s="77" customFormat="1" ht="12" customHeight="1">
      <c r="A39" s="670"/>
      <c r="B39" s="669"/>
      <c r="C39" s="145"/>
      <c r="D39" s="36">
        <v>1800000</v>
      </c>
      <c r="E39" s="118" t="s">
        <v>1087</v>
      </c>
    </row>
    <row r="40" spans="1:5" s="77" customFormat="1" ht="12" customHeight="1">
      <c r="A40" s="670"/>
      <c r="B40" s="669"/>
      <c r="C40" s="145"/>
      <c r="D40" s="36">
        <v>7736000</v>
      </c>
      <c r="E40" s="118" t="s">
        <v>1088</v>
      </c>
    </row>
    <row r="41" spans="1:5" s="77" customFormat="1" ht="12" customHeight="1">
      <c r="A41" s="397"/>
      <c r="B41" s="403"/>
      <c r="C41" s="145"/>
      <c r="D41" s="36">
        <v>7740000</v>
      </c>
      <c r="E41" s="118" t="s">
        <v>198</v>
      </c>
    </row>
    <row r="42" spans="1:5" s="77" customFormat="1" ht="12" customHeight="1">
      <c r="A42" s="403"/>
      <c r="B42" s="87"/>
      <c r="C42" s="85">
        <v>4117</v>
      </c>
      <c r="D42" s="50"/>
      <c r="E42" s="152"/>
    </row>
    <row r="43" spans="1:5" s="77" customFormat="1" ht="12" customHeight="1">
      <c r="A43" s="94"/>
      <c r="B43" s="403"/>
      <c r="C43" s="46" t="s">
        <v>128</v>
      </c>
      <c r="D43" s="36">
        <f>SUM(D44:D44)</f>
        <v>203082000</v>
      </c>
      <c r="E43" s="138"/>
    </row>
    <row r="44" spans="1:5" s="77" customFormat="1" ht="12" customHeight="1">
      <c r="A44" s="94"/>
      <c r="B44" s="403"/>
      <c r="C44" s="46"/>
      <c r="D44" s="36">
        <v>203082000</v>
      </c>
      <c r="E44" s="138" t="s">
        <v>872</v>
      </c>
    </row>
    <row r="45" spans="1:5" s="77" customFormat="1" ht="12" customHeight="1">
      <c r="A45" s="113"/>
      <c r="B45" s="78">
        <v>4120</v>
      </c>
      <c r="C45" s="40"/>
      <c r="D45" s="18"/>
      <c r="E45" s="147"/>
    </row>
    <row r="46" spans="1:5" s="77" customFormat="1" ht="12" customHeight="1">
      <c r="A46" s="113"/>
      <c r="B46" s="397" t="s">
        <v>33</v>
      </c>
      <c r="C46" s="32"/>
      <c r="D46" s="19">
        <f>D48+D51+D54+D57+D64+D67</f>
        <v>6023614470</v>
      </c>
      <c r="E46" s="139"/>
    </row>
    <row r="47" spans="1:5" s="77" customFormat="1" ht="12" customHeight="1">
      <c r="A47" s="113"/>
      <c r="B47" s="94"/>
      <c r="C47" s="37">
        <v>4121</v>
      </c>
      <c r="D47" s="18"/>
      <c r="E47" s="147"/>
    </row>
    <row r="48" spans="1:5" s="77" customFormat="1" ht="12" customHeight="1">
      <c r="A48" s="113"/>
      <c r="B48" s="94"/>
      <c r="C48" s="46" t="s">
        <v>34</v>
      </c>
      <c r="D48" s="36">
        <f>SUM(D49:D49)</f>
        <v>2096589920</v>
      </c>
      <c r="E48" s="138"/>
    </row>
    <row r="49" spans="1:5" s="77" customFormat="1" ht="12" customHeight="1">
      <c r="A49" s="113"/>
      <c r="B49" s="94"/>
      <c r="C49" s="46"/>
      <c r="D49" s="36">
        <v>2096589920</v>
      </c>
      <c r="E49" s="138" t="s">
        <v>873</v>
      </c>
    </row>
    <row r="50" spans="1:5" s="77" customFormat="1" ht="12" customHeight="1">
      <c r="A50" s="113"/>
      <c r="B50" s="94"/>
      <c r="C50" s="37">
        <v>4122</v>
      </c>
      <c r="D50" s="18"/>
      <c r="E50" s="147"/>
    </row>
    <row r="51" spans="1:5" s="77" customFormat="1" ht="12" customHeight="1">
      <c r="A51" s="113"/>
      <c r="B51" s="94"/>
      <c r="C51" s="46" t="s">
        <v>35</v>
      </c>
      <c r="D51" s="36">
        <f>SUM(D52:D52)</f>
        <v>1749124000</v>
      </c>
      <c r="E51" s="138"/>
    </row>
    <row r="52" spans="1:5" s="77" customFormat="1" ht="12" customHeight="1">
      <c r="A52" s="113"/>
      <c r="B52" s="94"/>
      <c r="C52" s="46"/>
      <c r="D52" s="36">
        <v>1749124000</v>
      </c>
      <c r="E52" s="138" t="s">
        <v>797</v>
      </c>
    </row>
    <row r="53" spans="1:5" s="77" customFormat="1" ht="12" customHeight="1">
      <c r="A53" s="113"/>
      <c r="B53" s="94"/>
      <c r="C53" s="37">
        <v>4123</v>
      </c>
      <c r="D53" s="18"/>
      <c r="E53" s="147"/>
    </row>
    <row r="54" spans="1:5" s="77" customFormat="1" ht="12" customHeight="1">
      <c r="A54" s="113"/>
      <c r="B54" s="94"/>
      <c r="C54" s="46" t="s">
        <v>36</v>
      </c>
      <c r="D54" s="36">
        <f>SUM(D55:D55)</f>
        <v>274579001</v>
      </c>
      <c r="E54" s="138"/>
    </row>
    <row r="55" spans="1:5" s="77" customFormat="1" ht="12" customHeight="1">
      <c r="A55" s="113"/>
      <c r="B55" s="94"/>
      <c r="C55" s="46"/>
      <c r="D55" s="36">
        <v>274579001</v>
      </c>
      <c r="E55" s="138" t="s">
        <v>205</v>
      </c>
    </row>
    <row r="56" spans="1:5" s="77" customFormat="1" ht="12" customHeight="1">
      <c r="A56" s="113"/>
      <c r="B56" s="94"/>
      <c r="C56" s="37">
        <v>4124</v>
      </c>
      <c r="D56" s="18"/>
      <c r="E56" s="147"/>
    </row>
    <row r="57" spans="1:5" s="77" customFormat="1" ht="12" customHeight="1">
      <c r="A57" s="113"/>
      <c r="B57" s="94"/>
      <c r="C57" s="46" t="s">
        <v>79</v>
      </c>
      <c r="D57" s="36">
        <f>SUM(D58:D62)</f>
        <v>1527346399</v>
      </c>
      <c r="E57" s="138"/>
    </row>
    <row r="58" spans="1:5" s="77" customFormat="1" ht="12" customHeight="1">
      <c r="A58" s="113"/>
      <c r="B58" s="94"/>
      <c r="C58" s="46"/>
      <c r="D58" s="828">
        <v>1312295037</v>
      </c>
      <c r="E58" s="138" t="s">
        <v>199</v>
      </c>
    </row>
    <row r="59" spans="1:5" s="77" customFormat="1" ht="12" customHeight="1">
      <c r="A59" s="113"/>
      <c r="B59" s="94"/>
      <c r="C59" s="46"/>
      <c r="D59" s="36">
        <f>16109700+26383540</f>
        <v>42493240</v>
      </c>
      <c r="E59" s="138" t="s">
        <v>200</v>
      </c>
    </row>
    <row r="60" spans="1:5" s="77" customFormat="1" ht="12" customHeight="1">
      <c r="A60" s="113"/>
      <c r="B60" s="94"/>
      <c r="C60" s="46"/>
      <c r="D60" s="36">
        <v>156005114</v>
      </c>
      <c r="E60" s="138" t="s">
        <v>201</v>
      </c>
    </row>
    <row r="61" spans="1:5" s="77" customFormat="1" ht="12" customHeight="1">
      <c r="A61" s="113"/>
      <c r="B61" s="94"/>
      <c r="C61" s="46"/>
      <c r="D61" s="36">
        <v>11552878</v>
      </c>
      <c r="E61" s="138" t="s">
        <v>202</v>
      </c>
    </row>
    <row r="62" spans="1:5" s="77" customFormat="1" ht="12" customHeight="1">
      <c r="A62" s="113"/>
      <c r="B62" s="94"/>
      <c r="C62" s="46"/>
      <c r="D62" s="36">
        <v>5000130</v>
      </c>
      <c r="E62" s="138" t="s">
        <v>203</v>
      </c>
    </row>
    <row r="63" spans="1:5" s="77" customFormat="1" ht="12" customHeight="1">
      <c r="A63" s="113"/>
      <c r="B63" s="94"/>
      <c r="C63" s="37">
        <v>4125</v>
      </c>
      <c r="D63" s="18"/>
      <c r="E63" s="147"/>
    </row>
    <row r="64" spans="1:5" s="77" customFormat="1" ht="12" customHeight="1">
      <c r="A64" s="113"/>
      <c r="B64" s="94"/>
      <c r="C64" s="46" t="s">
        <v>37</v>
      </c>
      <c r="D64" s="36">
        <f>SUM(D65:D65)</f>
        <v>334665000</v>
      </c>
      <c r="E64" s="138"/>
    </row>
    <row r="65" spans="1:5" s="77" customFormat="1" ht="12" customHeight="1">
      <c r="A65" s="113"/>
      <c r="B65" s="94"/>
      <c r="C65" s="46"/>
      <c r="D65" s="36">
        <v>334665000</v>
      </c>
      <c r="E65" s="138" t="s">
        <v>206</v>
      </c>
    </row>
    <row r="66" spans="1:5" s="77" customFormat="1" ht="12" customHeight="1">
      <c r="A66" s="113"/>
      <c r="B66" s="94"/>
      <c r="C66" s="37">
        <v>4127</v>
      </c>
      <c r="D66" s="18"/>
      <c r="E66" s="147"/>
    </row>
    <row r="67" spans="1:5" s="77" customFormat="1" ht="12" customHeight="1">
      <c r="A67" s="113"/>
      <c r="B67" s="94"/>
      <c r="C67" s="46" t="s">
        <v>80</v>
      </c>
      <c r="D67" s="36">
        <f>SUM(D68)</f>
        <v>41310150</v>
      </c>
      <c r="E67" s="138"/>
    </row>
    <row r="68" spans="1:5" s="77" customFormat="1" ht="12" customHeight="1">
      <c r="A68" s="114"/>
      <c r="B68" s="97"/>
      <c r="C68" s="32"/>
      <c r="D68" s="19">
        <v>41310150</v>
      </c>
      <c r="E68" s="139" t="s">
        <v>1089</v>
      </c>
    </row>
    <row r="69" spans="1:5" s="77" customFormat="1" ht="12" customHeight="1">
      <c r="A69" s="78">
        <v>4200</v>
      </c>
      <c r="B69" s="401"/>
      <c r="C69" s="40"/>
      <c r="D69" s="18"/>
      <c r="E69" s="147"/>
    </row>
    <row r="70" spans="1:5" s="77" customFormat="1" ht="12" customHeight="1">
      <c r="A70" s="397" t="s">
        <v>81</v>
      </c>
      <c r="B70" s="402"/>
      <c r="C70" s="42"/>
      <c r="D70" s="19">
        <f>D72+D105+D141</f>
        <v>10315595941</v>
      </c>
      <c r="E70" s="139"/>
    </row>
    <row r="71" spans="1:5" s="77" customFormat="1" ht="12" customHeight="1">
      <c r="A71" s="814"/>
      <c r="B71" s="838">
        <v>4210</v>
      </c>
      <c r="C71" s="776"/>
      <c r="D71" s="770"/>
      <c r="E71" s="798"/>
    </row>
    <row r="72" spans="1:5" s="77" customFormat="1" ht="12" customHeight="1">
      <c r="A72" s="397"/>
      <c r="B72" s="397" t="s">
        <v>45</v>
      </c>
      <c r="C72" s="42"/>
      <c r="D72" s="19">
        <f>D74+D84++D90+D93+D97+D100</f>
        <v>2440724860</v>
      </c>
      <c r="E72" s="139"/>
    </row>
    <row r="73" spans="1:5" s="77" customFormat="1" ht="12" customHeight="1">
      <c r="A73" s="472"/>
      <c r="B73" s="94"/>
      <c r="C73" s="132">
        <v>4211</v>
      </c>
      <c r="D73" s="101"/>
      <c r="E73" s="149"/>
    </row>
    <row r="74" spans="1:5" s="77" customFormat="1" ht="12" customHeight="1">
      <c r="A74" s="788"/>
      <c r="B74" s="788"/>
      <c r="C74" s="779" t="s">
        <v>40</v>
      </c>
      <c r="D74" s="772">
        <f>SUM(D75:D82)</f>
        <v>1049921850</v>
      </c>
      <c r="E74" s="797"/>
    </row>
    <row r="75" spans="1:5" s="77" customFormat="1" ht="12" customHeight="1">
      <c r="A75" s="788"/>
      <c r="B75" s="788"/>
      <c r="C75" s="779"/>
      <c r="D75" s="772">
        <v>300729850</v>
      </c>
      <c r="E75" s="797" t="s">
        <v>1090</v>
      </c>
    </row>
    <row r="76" spans="1:5" s="77" customFormat="1" ht="12" customHeight="1">
      <c r="A76" s="788"/>
      <c r="B76" s="788"/>
      <c r="C76" s="779"/>
      <c r="D76" s="772">
        <v>146442000</v>
      </c>
      <c r="E76" s="797" t="s">
        <v>208</v>
      </c>
    </row>
    <row r="77" spans="1:5" s="77" customFormat="1" ht="12" customHeight="1">
      <c r="A77" s="94"/>
      <c r="B77" s="94"/>
      <c r="C77" s="46"/>
      <c r="D77" s="36">
        <v>126100000</v>
      </c>
      <c r="E77" s="138" t="s">
        <v>1091</v>
      </c>
    </row>
    <row r="78" spans="1:5" s="77" customFormat="1" ht="12" customHeight="1">
      <c r="A78" s="94"/>
      <c r="B78" s="94"/>
      <c r="C78" s="46"/>
      <c r="D78" s="36">
        <v>75800000</v>
      </c>
      <c r="E78" s="138" t="s">
        <v>1092</v>
      </c>
    </row>
    <row r="79" spans="1:5" s="77" customFormat="1" ht="12" customHeight="1">
      <c r="A79" s="94"/>
      <c r="B79" s="94"/>
      <c r="C79" s="46"/>
      <c r="D79" s="36">
        <v>2500000</v>
      </c>
      <c r="E79" s="138" t="s">
        <v>1093</v>
      </c>
    </row>
    <row r="80" spans="1:5" s="77" customFormat="1" ht="12" customHeight="1">
      <c r="A80" s="94"/>
      <c r="B80" s="94"/>
      <c r="C80" s="46"/>
      <c r="D80" s="36">
        <v>160000000</v>
      </c>
      <c r="E80" s="138" t="s">
        <v>1094</v>
      </c>
    </row>
    <row r="81" spans="1:5" s="77" customFormat="1" ht="12" customHeight="1">
      <c r="A81" s="94"/>
      <c r="B81" s="94"/>
      <c r="C81" s="46"/>
      <c r="D81" s="36">
        <v>130000000</v>
      </c>
      <c r="E81" s="138" t="s">
        <v>1095</v>
      </c>
    </row>
    <row r="82" spans="1:5" s="77" customFormat="1" ht="12" customHeight="1">
      <c r="A82" s="94"/>
      <c r="B82" s="94"/>
      <c r="C82" s="46"/>
      <c r="D82" s="36">
        <v>108350000</v>
      </c>
      <c r="E82" s="138" t="s">
        <v>1096</v>
      </c>
    </row>
    <row r="83" spans="1:5" s="77" customFormat="1" ht="12" customHeight="1">
      <c r="A83" s="400"/>
      <c r="B83" s="94"/>
      <c r="C83" s="37">
        <v>4212</v>
      </c>
      <c r="D83" s="38"/>
      <c r="E83" s="148"/>
    </row>
    <row r="84" spans="1:5" s="77" customFormat="1" ht="12" customHeight="1">
      <c r="A84" s="94"/>
      <c r="B84" s="94"/>
      <c r="C84" s="46" t="s">
        <v>41</v>
      </c>
      <c r="D84" s="36">
        <f>SUM(D85:D88)</f>
        <v>48306000</v>
      </c>
      <c r="E84" s="138"/>
    </row>
    <row r="85" spans="1:5" s="77" customFormat="1" ht="12" customHeight="1">
      <c r="A85" s="94"/>
      <c r="B85" s="94"/>
      <c r="C85" s="46"/>
      <c r="D85" s="36">
        <v>29106000</v>
      </c>
      <c r="E85" s="138" t="s">
        <v>1097</v>
      </c>
    </row>
    <row r="86" spans="1:5" s="77" customFormat="1" ht="12" customHeight="1">
      <c r="A86" s="94"/>
      <c r="B86" s="94"/>
      <c r="C86" s="46"/>
      <c r="D86" s="36">
        <v>9600000</v>
      </c>
      <c r="E86" s="138" t="s">
        <v>1098</v>
      </c>
    </row>
    <row r="87" spans="1:5" s="77" customFormat="1" ht="12" customHeight="1">
      <c r="A87" s="94"/>
      <c r="B87" s="94"/>
      <c r="C87" s="46"/>
      <c r="D87" s="36">
        <v>6600000</v>
      </c>
      <c r="E87" s="138" t="s">
        <v>1099</v>
      </c>
    </row>
    <row r="88" spans="1:5" s="77" customFormat="1" ht="12" customHeight="1">
      <c r="A88" s="94"/>
      <c r="B88" s="94"/>
      <c r="C88" s="46"/>
      <c r="D88" s="36">
        <v>3000000</v>
      </c>
      <c r="E88" s="138" t="s">
        <v>1100</v>
      </c>
    </row>
    <row r="89" spans="1:5" s="77" customFormat="1" ht="12" customHeight="1">
      <c r="A89" s="94"/>
      <c r="B89" s="94"/>
      <c r="C89" s="37">
        <v>4213</v>
      </c>
      <c r="D89" s="18"/>
      <c r="E89" s="147"/>
    </row>
    <row r="90" spans="1:5" s="77" customFormat="1" ht="12" customHeight="1">
      <c r="A90" s="94"/>
      <c r="B90" s="94"/>
      <c r="C90" s="46" t="s">
        <v>1145</v>
      </c>
      <c r="D90" s="36">
        <f>D91</f>
        <v>28200000</v>
      </c>
      <c r="E90" s="138"/>
    </row>
    <row r="91" spans="1:5" s="77" customFormat="1" ht="12" customHeight="1">
      <c r="A91" s="94"/>
      <c r="B91" s="94"/>
      <c r="C91" s="46"/>
      <c r="D91" s="36">
        <v>28200000</v>
      </c>
      <c r="E91" s="138" t="s">
        <v>1146</v>
      </c>
    </row>
    <row r="92" spans="1:5" s="77" customFormat="1" ht="12" customHeight="1">
      <c r="A92" s="400"/>
      <c r="B92" s="94"/>
      <c r="C92" s="37">
        <v>4215</v>
      </c>
      <c r="D92" s="38"/>
      <c r="E92" s="148"/>
    </row>
    <row r="93" spans="1:5" s="77" customFormat="1" ht="12" customHeight="1">
      <c r="A93" s="94"/>
      <c r="B93" s="94"/>
      <c r="C93" s="46" t="s">
        <v>43</v>
      </c>
      <c r="D93" s="36">
        <f>SUM(D94:D95)</f>
        <v>679143275</v>
      </c>
      <c r="E93" s="138"/>
    </row>
    <row r="94" spans="1:5" s="77" customFormat="1" ht="12" customHeight="1">
      <c r="A94" s="94"/>
      <c r="B94" s="94"/>
      <c r="C94" s="46"/>
      <c r="D94" s="36">
        <v>4000000</v>
      </c>
      <c r="E94" s="138" t="s">
        <v>1101</v>
      </c>
    </row>
    <row r="95" spans="1:5" s="77" customFormat="1" ht="12" customHeight="1">
      <c r="A95" s="94"/>
      <c r="B95" s="94"/>
      <c r="C95" s="46"/>
      <c r="D95" s="36">
        <v>675143275</v>
      </c>
      <c r="E95" s="138" t="s">
        <v>1102</v>
      </c>
    </row>
    <row r="96" spans="1:5" s="77" customFormat="1" ht="12" customHeight="1">
      <c r="A96" s="400"/>
      <c r="B96" s="400"/>
      <c r="C96" s="37">
        <v>4216</v>
      </c>
      <c r="D96" s="38"/>
      <c r="E96" s="148"/>
    </row>
    <row r="97" spans="1:5" s="77" customFormat="1" ht="12" customHeight="1">
      <c r="A97" s="94"/>
      <c r="B97" s="94"/>
      <c r="C97" s="46" t="s">
        <v>44</v>
      </c>
      <c r="D97" s="36">
        <f>SUM(D98:D98)</f>
        <v>6915735</v>
      </c>
      <c r="E97" s="138"/>
    </row>
    <row r="98" spans="1:5" s="77" customFormat="1" ht="12" customHeight="1">
      <c r="A98" s="94"/>
      <c r="B98" s="94"/>
      <c r="C98" s="46"/>
      <c r="D98" s="36">
        <v>6915735</v>
      </c>
      <c r="E98" s="138" t="s">
        <v>874</v>
      </c>
    </row>
    <row r="99" spans="1:5" s="77" customFormat="1" ht="12" customHeight="1">
      <c r="A99" s="400"/>
      <c r="B99" s="94"/>
      <c r="C99" s="37">
        <v>4217</v>
      </c>
      <c r="D99" s="38"/>
      <c r="E99" s="148"/>
    </row>
    <row r="100" spans="1:5" s="77" customFormat="1" ht="12" customHeight="1">
      <c r="A100" s="94"/>
      <c r="B100" s="94"/>
      <c r="C100" s="46" t="s">
        <v>129</v>
      </c>
      <c r="D100" s="36">
        <f>SUM(D101:D103)</f>
        <v>628238000</v>
      </c>
      <c r="E100" s="138"/>
    </row>
    <row r="101" spans="1:5" s="77" customFormat="1" ht="12" customHeight="1">
      <c r="A101" s="94"/>
      <c r="B101" s="94"/>
      <c r="C101" s="46"/>
      <c r="D101" s="36">
        <v>549918000</v>
      </c>
      <c r="E101" s="138" t="s">
        <v>221</v>
      </c>
    </row>
    <row r="102" spans="1:5" s="77" customFormat="1" ht="12" customHeight="1">
      <c r="A102" s="94"/>
      <c r="B102" s="94"/>
      <c r="C102" s="46"/>
      <c r="D102" s="36">
        <v>74600000</v>
      </c>
      <c r="E102" s="138" t="s">
        <v>1103</v>
      </c>
    </row>
    <row r="103" spans="1:5" s="77" customFormat="1" ht="12" customHeight="1">
      <c r="A103" s="94"/>
      <c r="B103" s="94"/>
      <c r="C103" s="46"/>
      <c r="D103" s="36">
        <v>3720000</v>
      </c>
      <c r="E103" s="138" t="s">
        <v>875</v>
      </c>
    </row>
    <row r="104" spans="1:5" s="77" customFormat="1" ht="12" customHeight="1">
      <c r="A104" s="400"/>
      <c r="B104" s="399">
        <v>4220</v>
      </c>
      <c r="C104" s="37"/>
      <c r="D104" s="38"/>
      <c r="E104" s="148"/>
    </row>
    <row r="105" spans="1:5" s="77" customFormat="1" ht="12" customHeight="1">
      <c r="A105" s="94"/>
      <c r="B105" s="397" t="s">
        <v>82</v>
      </c>
      <c r="C105" s="92"/>
      <c r="D105" s="36">
        <f>D107+D111+D121+D124+D128+D132+D135+D138</f>
        <v>1812101541</v>
      </c>
      <c r="E105" s="138"/>
    </row>
    <row r="106" spans="1:5" s="77" customFormat="1" ht="12" customHeight="1">
      <c r="A106" s="472"/>
      <c r="B106" s="472"/>
      <c r="C106" s="43">
        <v>4221</v>
      </c>
      <c r="D106" s="38"/>
      <c r="E106" s="148"/>
    </row>
    <row r="107" spans="1:5" s="77" customFormat="1" ht="12" customHeight="1">
      <c r="A107" s="789"/>
      <c r="B107" s="789"/>
      <c r="C107" s="771" t="s">
        <v>46</v>
      </c>
      <c r="D107" s="770">
        <f>SUM(D108:D109)</f>
        <v>241499468</v>
      </c>
      <c r="E107" s="798"/>
    </row>
    <row r="108" spans="1:5" s="77" customFormat="1" ht="12" customHeight="1">
      <c r="A108" s="94"/>
      <c r="B108" s="94"/>
      <c r="C108" s="46"/>
      <c r="D108" s="36">
        <v>62000000</v>
      </c>
      <c r="E108" s="138" t="s">
        <v>387</v>
      </c>
    </row>
    <row r="109" spans="1:5" s="77" customFormat="1" ht="12" customHeight="1">
      <c r="A109" s="94"/>
      <c r="B109" s="94"/>
      <c r="C109" s="46"/>
      <c r="D109" s="36">
        <v>179499468</v>
      </c>
      <c r="E109" s="138" t="s">
        <v>1104</v>
      </c>
    </row>
    <row r="110" spans="1:5" s="77" customFormat="1" ht="12" customHeight="1">
      <c r="A110" s="400"/>
      <c r="B110" s="400"/>
      <c r="C110" s="37">
        <v>4223</v>
      </c>
      <c r="D110" s="38"/>
      <c r="E110" s="148"/>
    </row>
    <row r="111" spans="1:5" s="77" customFormat="1" ht="12" customHeight="1">
      <c r="A111" s="94"/>
      <c r="B111" s="94"/>
      <c r="C111" s="46" t="s">
        <v>48</v>
      </c>
      <c r="D111" s="36">
        <f>SUM(D112:D119)</f>
        <v>457794000</v>
      </c>
      <c r="E111" s="138"/>
    </row>
    <row r="112" spans="1:5" s="77" customFormat="1" ht="12" customHeight="1">
      <c r="A112" s="94"/>
      <c r="B112" s="94"/>
      <c r="C112" s="46"/>
      <c r="D112" s="36">
        <v>14000000</v>
      </c>
      <c r="E112" s="138" t="s">
        <v>1105</v>
      </c>
    </row>
    <row r="113" spans="1:5" s="77" customFormat="1" ht="12" customHeight="1">
      <c r="A113" s="788"/>
      <c r="B113" s="788"/>
      <c r="C113" s="779"/>
      <c r="D113" s="772">
        <v>4000000</v>
      </c>
      <c r="E113" s="797" t="s">
        <v>1106</v>
      </c>
    </row>
    <row r="114" spans="1:5" s="77" customFormat="1" ht="12" customHeight="1">
      <c r="A114" s="788"/>
      <c r="B114" s="788"/>
      <c r="C114" s="779"/>
      <c r="D114" s="772">
        <v>111160000</v>
      </c>
      <c r="E114" s="797" t="s">
        <v>1107</v>
      </c>
    </row>
    <row r="115" spans="1:5" s="77" customFormat="1" ht="12" customHeight="1">
      <c r="A115" s="94"/>
      <c r="B115" s="94"/>
      <c r="C115" s="46"/>
      <c r="D115" s="36">
        <v>30500000</v>
      </c>
      <c r="E115" s="138" t="s">
        <v>1108</v>
      </c>
    </row>
    <row r="116" spans="1:5" s="77" customFormat="1" ht="12" customHeight="1">
      <c r="A116" s="94"/>
      <c r="B116" s="94"/>
      <c r="C116" s="46"/>
      <c r="D116" s="36">
        <v>4000000</v>
      </c>
      <c r="E116" s="138" t="s">
        <v>1109</v>
      </c>
    </row>
    <row r="117" spans="1:5" s="77" customFormat="1" ht="12" customHeight="1">
      <c r="A117" s="94"/>
      <c r="B117" s="94"/>
      <c r="C117" s="46"/>
      <c r="D117" s="36">
        <v>50000000</v>
      </c>
      <c r="E117" s="138" t="s">
        <v>1110</v>
      </c>
    </row>
    <row r="118" spans="1:5" s="77" customFormat="1" ht="12" customHeight="1">
      <c r="A118" s="94"/>
      <c r="B118" s="94"/>
      <c r="C118" s="46"/>
      <c r="D118" s="36">
        <v>132084000</v>
      </c>
      <c r="E118" s="138" t="s">
        <v>1111</v>
      </c>
    </row>
    <row r="119" spans="1:5" s="77" customFormat="1" ht="12" customHeight="1">
      <c r="A119" s="94"/>
      <c r="B119" s="94"/>
      <c r="C119" s="46"/>
      <c r="D119" s="36">
        <v>112050000</v>
      </c>
      <c r="E119" s="138" t="s">
        <v>1112</v>
      </c>
    </row>
    <row r="120" spans="1:5" s="77" customFormat="1" ht="12" customHeight="1">
      <c r="A120" s="400"/>
      <c r="B120" s="400"/>
      <c r="C120" s="37">
        <v>4224</v>
      </c>
      <c r="D120" s="38"/>
      <c r="E120" s="148"/>
    </row>
    <row r="121" spans="1:5" s="77" customFormat="1" ht="12" customHeight="1">
      <c r="A121" s="94"/>
      <c r="B121" s="94"/>
      <c r="C121" s="46" t="s">
        <v>185</v>
      </c>
      <c r="D121" s="120">
        <f>SUM(D122:D122)</f>
        <v>124200000</v>
      </c>
      <c r="E121" s="138"/>
    </row>
    <row r="122" spans="1:5" s="77" customFormat="1" ht="12" customHeight="1">
      <c r="A122" s="94"/>
      <c r="B122" s="94"/>
      <c r="C122" s="46"/>
      <c r="D122" s="120">
        <v>124200000</v>
      </c>
      <c r="E122" s="154" t="s">
        <v>234</v>
      </c>
    </row>
    <row r="123" spans="1:5" s="77" customFormat="1" ht="12" customHeight="1">
      <c r="A123" s="400"/>
      <c r="B123" s="400"/>
      <c r="C123" s="37">
        <v>4225</v>
      </c>
      <c r="D123" s="38"/>
      <c r="E123" s="512"/>
    </row>
    <row r="124" spans="1:5" s="77" customFormat="1" ht="12" customHeight="1">
      <c r="A124" s="94"/>
      <c r="B124" s="94"/>
      <c r="C124" s="46" t="s">
        <v>186</v>
      </c>
      <c r="D124" s="36">
        <f>SUM(D125:D126)</f>
        <v>435000000</v>
      </c>
      <c r="E124" s="138"/>
    </row>
    <row r="125" spans="1:5" s="77" customFormat="1" ht="12" customHeight="1">
      <c r="A125" s="94"/>
      <c r="B125" s="94"/>
      <c r="C125" s="46"/>
      <c r="D125" s="36">
        <v>35000000</v>
      </c>
      <c r="E125" s="154" t="s">
        <v>1113</v>
      </c>
    </row>
    <row r="126" spans="1:5" s="77" customFormat="1" ht="12" customHeight="1">
      <c r="A126" s="788"/>
      <c r="B126" s="788"/>
      <c r="C126" s="32"/>
      <c r="D126" s="19">
        <v>400000000</v>
      </c>
      <c r="E126" s="155" t="s">
        <v>1114</v>
      </c>
    </row>
    <row r="127" spans="1:5" s="77" customFormat="1" ht="12" customHeight="1">
      <c r="A127" s="810"/>
      <c r="B127" s="810"/>
      <c r="C127" s="37">
        <v>4226</v>
      </c>
      <c r="D127" s="38"/>
      <c r="E127" s="148"/>
    </row>
    <row r="128" spans="1:5" s="77" customFormat="1" ht="12" customHeight="1">
      <c r="A128" s="94"/>
      <c r="B128" s="94"/>
      <c r="C128" s="46" t="s">
        <v>187</v>
      </c>
      <c r="D128" s="36">
        <f>SUM(D129:D130)</f>
        <v>323000000</v>
      </c>
      <c r="E128" s="138"/>
    </row>
    <row r="129" spans="1:5" s="77" customFormat="1" ht="12" customHeight="1">
      <c r="A129" s="94"/>
      <c r="B129" s="94"/>
      <c r="C129" s="46"/>
      <c r="D129" s="36">
        <v>7500000</v>
      </c>
      <c r="E129" s="154" t="s">
        <v>937</v>
      </c>
    </row>
    <row r="130" spans="1:5" s="77" customFormat="1" ht="12" customHeight="1">
      <c r="A130" s="94"/>
      <c r="B130" s="94"/>
      <c r="C130" s="46"/>
      <c r="D130" s="36">
        <v>315500000</v>
      </c>
      <c r="E130" s="154" t="s">
        <v>1115</v>
      </c>
    </row>
    <row r="131" spans="1:5" s="77" customFormat="1" ht="12" customHeight="1">
      <c r="A131" s="400"/>
      <c r="B131" s="400"/>
      <c r="C131" s="37">
        <v>4227</v>
      </c>
      <c r="D131" s="38"/>
      <c r="E131" s="148"/>
    </row>
    <row r="132" spans="1:5" s="77" customFormat="1" ht="12" customHeight="1">
      <c r="A132" s="94"/>
      <c r="B132" s="94"/>
      <c r="C132" s="46" t="s">
        <v>49</v>
      </c>
      <c r="D132" s="36">
        <f>SUM(D133:D133)</f>
        <v>37600000</v>
      </c>
      <c r="E132" s="138"/>
    </row>
    <row r="133" spans="1:5" s="77" customFormat="1" ht="12" customHeight="1">
      <c r="A133" s="94"/>
      <c r="B133" s="94"/>
      <c r="C133" s="46"/>
      <c r="D133" s="156">
        <v>37600000</v>
      </c>
      <c r="E133" s="154" t="s">
        <v>876</v>
      </c>
    </row>
    <row r="134" spans="1:5" s="77" customFormat="1" ht="12" customHeight="1">
      <c r="A134" s="400"/>
      <c r="B134" s="400"/>
      <c r="C134" s="37">
        <v>4228</v>
      </c>
      <c r="D134" s="38"/>
      <c r="E134" s="148"/>
    </row>
    <row r="135" spans="1:5" s="77" customFormat="1" ht="12" customHeight="1">
      <c r="A135" s="94"/>
      <c r="B135" s="94"/>
      <c r="C135" s="46" t="s">
        <v>50</v>
      </c>
      <c r="D135" s="36">
        <f>SUM(D136:D136)</f>
        <v>180398975</v>
      </c>
      <c r="E135" s="138"/>
    </row>
    <row r="136" spans="1:5" s="77" customFormat="1" ht="12" customHeight="1">
      <c r="A136" s="94"/>
      <c r="B136" s="94"/>
      <c r="C136" s="46"/>
      <c r="D136" s="36">
        <v>180398975</v>
      </c>
      <c r="E136" s="154" t="s">
        <v>1116</v>
      </c>
    </row>
    <row r="137" spans="1:5" s="77" customFormat="1" ht="12" customHeight="1">
      <c r="A137" s="400"/>
      <c r="B137" s="400"/>
      <c r="C137" s="37">
        <v>4229</v>
      </c>
      <c r="D137" s="38"/>
      <c r="E137" s="148"/>
    </row>
    <row r="138" spans="1:5" s="77" customFormat="1" ht="12" customHeight="1">
      <c r="A138" s="94"/>
      <c r="B138" s="94"/>
      <c r="C138" s="46" t="s">
        <v>188</v>
      </c>
      <c r="D138" s="198">
        <f>SUM(D139:D139)</f>
        <v>12609098</v>
      </c>
      <c r="E138" s="138"/>
    </row>
    <row r="139" spans="1:5" s="77" customFormat="1" ht="12" customHeight="1">
      <c r="A139" s="94"/>
      <c r="B139" s="94"/>
      <c r="C139" s="46"/>
      <c r="D139" s="120">
        <v>12609098</v>
      </c>
      <c r="E139" s="155" t="s">
        <v>1117</v>
      </c>
    </row>
    <row r="140" spans="1:5" s="77" customFormat="1" ht="12" customHeight="1">
      <c r="A140" s="400"/>
      <c r="B140" s="399">
        <v>4230</v>
      </c>
      <c r="C140" s="37"/>
      <c r="D140" s="38"/>
      <c r="E140" s="148"/>
    </row>
    <row r="141" spans="1:5" s="77" customFormat="1" ht="12" customHeight="1">
      <c r="A141" s="94"/>
      <c r="B141" s="397" t="s">
        <v>57</v>
      </c>
      <c r="C141" s="42"/>
      <c r="D141" s="19">
        <f>D143+D146+D150+D153+D156+D163+D166+D172</f>
        <v>6062769540</v>
      </c>
      <c r="E141" s="139"/>
    </row>
    <row r="142" spans="1:5" s="77" customFormat="1" ht="12" customHeight="1">
      <c r="A142" s="400"/>
      <c r="B142" s="94"/>
      <c r="C142" s="43">
        <v>4231</v>
      </c>
      <c r="D142" s="38"/>
      <c r="E142" s="148"/>
    </row>
    <row r="143" spans="1:5" s="77" customFormat="1" ht="12" customHeight="1">
      <c r="A143" s="789"/>
      <c r="B143" s="789"/>
      <c r="C143" s="771" t="s">
        <v>51</v>
      </c>
      <c r="D143" s="770">
        <f>SUM(D144:D144)</f>
        <v>416252900</v>
      </c>
      <c r="E143" s="798"/>
    </row>
    <row r="144" spans="1:5" s="77" customFormat="1" ht="12" customHeight="1">
      <c r="A144" s="94"/>
      <c r="B144" s="94"/>
      <c r="C144" s="46"/>
      <c r="D144" s="36">
        <v>416252900</v>
      </c>
      <c r="E144" s="138" t="s">
        <v>877</v>
      </c>
    </row>
    <row r="145" spans="1:5" s="77" customFormat="1" ht="12" customHeight="1">
      <c r="A145" s="400"/>
      <c r="B145" s="94"/>
      <c r="C145" s="37">
        <v>4232</v>
      </c>
      <c r="D145" s="38"/>
      <c r="E145" s="148"/>
    </row>
    <row r="146" spans="1:5" s="77" customFormat="1" ht="12" customHeight="1">
      <c r="A146" s="94"/>
      <c r="B146" s="94"/>
      <c r="C146" s="46" t="s">
        <v>52</v>
      </c>
      <c r="D146" s="36">
        <f>SUM(D147:D148)</f>
        <v>217605000</v>
      </c>
      <c r="E146" s="138"/>
    </row>
    <row r="147" spans="1:5" s="77" customFormat="1" ht="12" customHeight="1">
      <c r="A147" s="94"/>
      <c r="B147" s="94"/>
      <c r="C147" s="46"/>
      <c r="D147" s="36">
        <v>66465000</v>
      </c>
      <c r="E147" s="138" t="s">
        <v>878</v>
      </c>
    </row>
    <row r="148" spans="1:5" s="77" customFormat="1" ht="12" customHeight="1">
      <c r="A148" s="94"/>
      <c r="B148" s="94"/>
      <c r="C148" s="46"/>
      <c r="D148" s="36">
        <v>151140000</v>
      </c>
      <c r="E148" s="138" t="s">
        <v>1118</v>
      </c>
    </row>
    <row r="149" spans="1:5" s="77" customFormat="1" ht="12" customHeight="1">
      <c r="A149" s="400"/>
      <c r="B149" s="400"/>
      <c r="C149" s="37">
        <v>4233</v>
      </c>
      <c r="D149" s="38"/>
      <c r="E149" s="148"/>
    </row>
    <row r="150" spans="1:5" s="77" customFormat="1" ht="12" customHeight="1">
      <c r="A150" s="94"/>
      <c r="B150" s="94"/>
      <c r="C150" s="46" t="s">
        <v>130</v>
      </c>
      <c r="D150" s="36">
        <f>SUM(D151:D151)</f>
        <v>390084000</v>
      </c>
      <c r="E150" s="138"/>
    </row>
    <row r="151" spans="1:5" s="77" customFormat="1" ht="12">
      <c r="A151" s="94"/>
      <c r="B151" s="94"/>
      <c r="C151" s="46"/>
      <c r="D151" s="36">
        <v>390084000</v>
      </c>
      <c r="E151" s="138" t="s">
        <v>1753</v>
      </c>
    </row>
    <row r="152" spans="1:5" s="77" customFormat="1" ht="12" customHeight="1">
      <c r="A152" s="788"/>
      <c r="B152" s="788"/>
      <c r="C152" s="773">
        <v>4234</v>
      </c>
      <c r="D152" s="774"/>
      <c r="E152" s="803"/>
    </row>
    <row r="153" spans="1:5" s="77" customFormat="1" ht="12" customHeight="1">
      <c r="A153" s="94"/>
      <c r="B153" s="94"/>
      <c r="C153" s="46" t="s">
        <v>189</v>
      </c>
      <c r="D153" s="36">
        <f>D154</f>
        <v>489600000</v>
      </c>
      <c r="E153" s="138"/>
    </row>
    <row r="154" spans="1:5" s="77" customFormat="1" ht="12" customHeight="1">
      <c r="A154" s="94"/>
      <c r="B154" s="94"/>
      <c r="C154" s="46"/>
      <c r="D154" s="36">
        <v>489600000</v>
      </c>
      <c r="E154" s="138" t="s">
        <v>245</v>
      </c>
    </row>
    <row r="155" spans="1:5" s="77" customFormat="1" ht="12" customHeight="1">
      <c r="A155" s="94"/>
      <c r="B155" s="94"/>
      <c r="C155" s="37">
        <v>4235</v>
      </c>
      <c r="D155" s="38"/>
      <c r="E155" s="148"/>
    </row>
    <row r="156" spans="1:5" s="77" customFormat="1" ht="12" customHeight="1">
      <c r="A156" s="94"/>
      <c r="B156" s="94"/>
      <c r="C156" s="46" t="s">
        <v>53</v>
      </c>
      <c r="D156" s="36">
        <f>SUM(D157:D161)</f>
        <v>1681446000</v>
      </c>
      <c r="E156" s="138"/>
    </row>
    <row r="157" spans="1:5" s="77" customFormat="1" ht="12" customHeight="1">
      <c r="A157" s="94"/>
      <c r="B157" s="94"/>
      <c r="C157" s="46"/>
      <c r="D157" s="36">
        <v>660000000</v>
      </c>
      <c r="E157" s="138" t="s">
        <v>1119</v>
      </c>
    </row>
    <row r="158" spans="1:5" s="77" customFormat="1" ht="12" customHeight="1">
      <c r="A158" s="94"/>
      <c r="B158" s="94"/>
      <c r="C158" s="46"/>
      <c r="D158" s="36">
        <v>507000000</v>
      </c>
      <c r="E158" s="138" t="s">
        <v>1120</v>
      </c>
    </row>
    <row r="159" spans="1:5" s="77" customFormat="1" ht="12" customHeight="1">
      <c r="A159" s="94"/>
      <c r="B159" s="94"/>
      <c r="C159" s="46"/>
      <c r="D159" s="36">
        <v>45984000</v>
      </c>
      <c r="E159" s="138" t="s">
        <v>1121</v>
      </c>
    </row>
    <row r="160" spans="1:5" s="77" customFormat="1" ht="12" customHeight="1">
      <c r="A160" s="94"/>
      <c r="B160" s="94"/>
      <c r="C160" s="46"/>
      <c r="D160" s="36">
        <v>330562000</v>
      </c>
      <c r="E160" s="138" t="s">
        <v>1122</v>
      </c>
    </row>
    <row r="161" spans="1:5" s="77" customFormat="1" ht="12" customHeight="1">
      <c r="A161" s="94"/>
      <c r="B161" s="94"/>
      <c r="C161" s="46"/>
      <c r="D161" s="36">
        <v>137900000</v>
      </c>
      <c r="E161" s="138" t="s">
        <v>1123</v>
      </c>
    </row>
    <row r="162" spans="1:5" s="77" customFormat="1" ht="12" customHeight="1">
      <c r="A162" s="94"/>
      <c r="B162" s="94"/>
      <c r="C162" s="702">
        <v>4326</v>
      </c>
      <c r="D162" s="693"/>
      <c r="E162" s="693"/>
    </row>
    <row r="163" spans="1:5" s="77" customFormat="1" ht="12" customHeight="1">
      <c r="A163" s="94"/>
      <c r="B163" s="94"/>
      <c r="C163" s="46" t="s">
        <v>54</v>
      </c>
      <c r="D163" s="36">
        <f>SUM(D164)</f>
        <v>150312000</v>
      </c>
      <c r="E163" s="138"/>
    </row>
    <row r="164" spans="1:5" s="77" customFormat="1" ht="12" customHeight="1">
      <c r="A164" s="788"/>
      <c r="B164" s="788"/>
      <c r="C164" s="32"/>
      <c r="D164" s="19">
        <v>150312000</v>
      </c>
      <c r="E164" s="139" t="s">
        <v>247</v>
      </c>
    </row>
    <row r="165" spans="1:5" s="77" customFormat="1" ht="12" customHeight="1">
      <c r="A165" s="788"/>
      <c r="B165" s="788"/>
      <c r="C165" s="37">
        <v>4237</v>
      </c>
      <c r="D165" s="38"/>
      <c r="E165" s="148"/>
    </row>
    <row r="166" spans="1:5" s="77" customFormat="1" ht="12" customHeight="1">
      <c r="A166" s="94"/>
      <c r="B166" s="94"/>
      <c r="C166" s="46" t="s">
        <v>190</v>
      </c>
      <c r="D166" s="36">
        <f>SUM(D167:D170)</f>
        <v>487950640</v>
      </c>
      <c r="E166" s="138"/>
    </row>
    <row r="167" spans="1:5" s="77" customFormat="1" ht="12" customHeight="1">
      <c r="A167" s="94"/>
      <c r="B167" s="94"/>
      <c r="C167" s="46"/>
      <c r="D167" s="36">
        <v>425120640</v>
      </c>
      <c r="E167" s="138" t="s">
        <v>879</v>
      </c>
    </row>
    <row r="168" spans="1:5" s="77" customFormat="1" ht="12" customHeight="1">
      <c r="A168" s="94"/>
      <c r="B168" s="94"/>
      <c r="C168" s="46"/>
      <c r="D168" s="36">
        <v>24450000</v>
      </c>
      <c r="E168" s="138" t="s">
        <v>1124</v>
      </c>
    </row>
    <row r="169" spans="1:5" s="77" customFormat="1" ht="12" customHeight="1">
      <c r="A169" s="94"/>
      <c r="B169" s="94"/>
      <c r="C169" s="46"/>
      <c r="D169" s="36">
        <v>8900000</v>
      </c>
      <c r="E169" s="138" t="s">
        <v>250</v>
      </c>
    </row>
    <row r="170" spans="1:5" s="77" customFormat="1" ht="12" customHeight="1">
      <c r="A170" s="94"/>
      <c r="B170" s="94"/>
      <c r="C170" s="32"/>
      <c r="D170" s="19">
        <v>29480000</v>
      </c>
      <c r="E170" s="139" t="s">
        <v>1125</v>
      </c>
    </row>
    <row r="171" spans="1:5" s="77" customFormat="1" ht="12" customHeight="1">
      <c r="A171" s="94"/>
      <c r="B171" s="94"/>
      <c r="C171" s="37">
        <v>4239</v>
      </c>
      <c r="D171" s="38"/>
      <c r="E171" s="148"/>
    </row>
    <row r="172" spans="1:5" s="77" customFormat="1" ht="12" customHeight="1">
      <c r="A172" s="94"/>
      <c r="B172" s="94"/>
      <c r="C172" s="46" t="s">
        <v>56</v>
      </c>
      <c r="D172" s="36">
        <f>SUM(D173:D175)</f>
        <v>2229519000</v>
      </c>
      <c r="E172" s="138"/>
    </row>
    <row r="173" spans="1:5" s="77" customFormat="1" ht="12" customHeight="1">
      <c r="A173" s="94"/>
      <c r="B173" s="94"/>
      <c r="C173" s="46"/>
      <c r="D173" s="36">
        <v>1719800000</v>
      </c>
      <c r="E173" s="138" t="s">
        <v>251</v>
      </c>
    </row>
    <row r="174" spans="1:5" s="77" customFormat="1" ht="12" customHeight="1">
      <c r="A174" s="94"/>
      <c r="B174" s="94"/>
      <c r="C174" s="46"/>
      <c r="D174" s="36">
        <v>117000000</v>
      </c>
      <c r="E174" s="138" t="s">
        <v>295</v>
      </c>
    </row>
    <row r="175" spans="1:5" s="77" customFormat="1" ht="12" customHeight="1">
      <c r="A175" s="94"/>
      <c r="B175" s="94"/>
      <c r="C175" s="46"/>
      <c r="D175" s="36">
        <v>392719000</v>
      </c>
      <c r="E175" s="138" t="s">
        <v>252</v>
      </c>
    </row>
    <row r="176" spans="1:5" s="77" customFormat="1" ht="12" customHeight="1">
      <c r="A176" s="399">
        <v>4300</v>
      </c>
      <c r="B176" s="399"/>
      <c r="C176" s="37"/>
      <c r="D176" s="38"/>
      <c r="E176" s="148"/>
    </row>
    <row r="177" spans="1:5" s="77" customFormat="1" ht="12" customHeight="1">
      <c r="A177" s="397" t="s">
        <v>191</v>
      </c>
      <c r="B177" s="402"/>
      <c r="C177" s="32"/>
      <c r="D177" s="19">
        <f>D179+D190+D227</f>
        <v>40146655251</v>
      </c>
      <c r="E177" s="139"/>
    </row>
    <row r="178" spans="1:5" s="77" customFormat="1" ht="12" customHeight="1">
      <c r="A178" s="943"/>
      <c r="B178" s="934">
        <v>4310</v>
      </c>
      <c r="C178" s="916"/>
      <c r="D178" s="917"/>
      <c r="E178" s="959"/>
    </row>
    <row r="179" spans="1:5" s="77" customFormat="1" ht="12" customHeight="1">
      <c r="A179" s="944"/>
      <c r="B179" s="935" t="s">
        <v>59</v>
      </c>
      <c r="C179" s="913"/>
      <c r="D179" s="19">
        <f>D181</f>
        <v>3381648853</v>
      </c>
      <c r="E179" s="139"/>
    </row>
    <row r="180" spans="1:5" s="77" customFormat="1" ht="12" customHeight="1">
      <c r="A180" s="94"/>
      <c r="B180" s="94"/>
      <c r="C180" s="914">
        <v>4311</v>
      </c>
      <c r="D180" s="38"/>
      <c r="E180" s="148"/>
    </row>
    <row r="181" spans="1:5" s="77" customFormat="1" ht="12" customHeight="1">
      <c r="A181" s="94"/>
      <c r="B181" s="113"/>
      <c r="C181" s="46" t="s">
        <v>59</v>
      </c>
      <c r="D181" s="36">
        <f>SUM(D182:D188)</f>
        <v>3381648853</v>
      </c>
      <c r="E181" s="138"/>
    </row>
    <row r="182" spans="1:5" s="77" customFormat="1" ht="12" customHeight="1">
      <c r="A182" s="94"/>
      <c r="B182" s="113"/>
      <c r="C182" s="46"/>
      <c r="D182" s="36">
        <v>789240000</v>
      </c>
      <c r="E182" s="138" t="s">
        <v>253</v>
      </c>
    </row>
    <row r="183" spans="1:5" s="77" customFormat="1" ht="12" customHeight="1">
      <c r="A183" s="94"/>
      <c r="B183" s="113"/>
      <c r="C183" s="46"/>
      <c r="D183" s="36">
        <v>145271000</v>
      </c>
      <c r="E183" s="138" t="s">
        <v>388</v>
      </c>
    </row>
    <row r="184" spans="1:5" s="77" customFormat="1" ht="12" customHeight="1">
      <c r="A184" s="94"/>
      <c r="B184" s="113"/>
      <c r="C184" s="46"/>
      <c r="D184" s="36">
        <v>421198000</v>
      </c>
      <c r="E184" s="138" t="s">
        <v>880</v>
      </c>
    </row>
    <row r="185" spans="1:5" s="77" customFormat="1" ht="12" customHeight="1">
      <c r="A185" s="94"/>
      <c r="B185" s="113"/>
      <c r="C185" s="46"/>
      <c r="D185" s="36">
        <v>353035000</v>
      </c>
      <c r="E185" s="138" t="s">
        <v>255</v>
      </c>
    </row>
    <row r="186" spans="1:5" s="77" customFormat="1" ht="12" customHeight="1">
      <c r="A186" s="94"/>
      <c r="B186" s="113"/>
      <c r="C186" s="46"/>
      <c r="D186" s="36">
        <v>50000000</v>
      </c>
      <c r="E186" s="138" t="s">
        <v>881</v>
      </c>
    </row>
    <row r="187" spans="1:5" s="77" customFormat="1" ht="12.75" customHeight="1">
      <c r="A187" s="94"/>
      <c r="B187" s="113"/>
      <c r="C187" s="46"/>
      <c r="D187" s="36">
        <v>796433000</v>
      </c>
      <c r="E187" s="138" t="s">
        <v>296</v>
      </c>
    </row>
    <row r="188" spans="1:5" s="77" customFormat="1" ht="12">
      <c r="A188" s="94"/>
      <c r="B188" s="113"/>
      <c r="C188" s="46"/>
      <c r="D188" s="36">
        <v>826471853</v>
      </c>
      <c r="E188" s="138" t="s">
        <v>297</v>
      </c>
    </row>
    <row r="189" spans="1:5" s="77" customFormat="1" ht="12" customHeight="1">
      <c r="A189" s="94"/>
      <c r="B189" s="78">
        <v>4320</v>
      </c>
      <c r="C189" s="37"/>
      <c r="D189" s="38"/>
      <c r="E189" s="148"/>
    </row>
    <row r="190" spans="1:5" s="77" customFormat="1" ht="12" customHeight="1">
      <c r="A190" s="788"/>
      <c r="B190" s="813" t="s">
        <v>60</v>
      </c>
      <c r="C190" s="32"/>
      <c r="D190" s="19">
        <f>D192+D195+D200+D204+D207+D216</f>
        <v>31366809892</v>
      </c>
      <c r="E190" s="139"/>
    </row>
    <row r="191" spans="1:5" s="77" customFormat="1" ht="12" customHeight="1">
      <c r="A191" s="788"/>
      <c r="B191" s="788"/>
      <c r="C191" s="37">
        <v>4321</v>
      </c>
      <c r="D191" s="38"/>
      <c r="E191" s="148"/>
    </row>
    <row r="192" spans="1:5" s="77" customFormat="1" ht="12" customHeight="1">
      <c r="A192" s="94"/>
      <c r="B192" s="94"/>
      <c r="C192" s="46" t="s">
        <v>101</v>
      </c>
      <c r="D192" s="36">
        <f>SUM(D193)</f>
        <v>21637224560</v>
      </c>
      <c r="E192" s="138"/>
    </row>
    <row r="193" spans="1:5" s="77" customFormat="1" ht="12" customHeight="1">
      <c r="A193" s="94"/>
      <c r="B193" s="94"/>
      <c r="C193" s="46"/>
      <c r="D193" s="36">
        <v>21637224560</v>
      </c>
      <c r="E193" s="138" t="s">
        <v>256</v>
      </c>
    </row>
    <row r="194" spans="1:5" s="77" customFormat="1" ht="12" customHeight="1">
      <c r="A194" s="94"/>
      <c r="B194" s="94"/>
      <c r="C194" s="37">
        <v>4322</v>
      </c>
      <c r="D194" s="38"/>
      <c r="E194" s="148"/>
    </row>
    <row r="195" spans="1:5" s="77" customFormat="1" ht="12" customHeight="1">
      <c r="A195" s="94"/>
      <c r="B195" s="94"/>
      <c r="C195" s="46" t="s">
        <v>102</v>
      </c>
      <c r="D195" s="36">
        <f>SUM(D196:D198)</f>
        <v>3872342500</v>
      </c>
      <c r="E195" s="138"/>
    </row>
    <row r="196" spans="1:5" s="77" customFormat="1" ht="12" customHeight="1">
      <c r="A196" s="94"/>
      <c r="B196" s="94"/>
      <c r="C196" s="46"/>
      <c r="D196" s="36">
        <v>3531811000</v>
      </c>
      <c r="E196" s="138" t="s">
        <v>140</v>
      </c>
    </row>
    <row r="197" spans="1:5" s="77" customFormat="1" ht="12" customHeight="1">
      <c r="A197" s="94"/>
      <c r="B197" s="94"/>
      <c r="C197" s="46"/>
      <c r="D197" s="36">
        <v>10000000</v>
      </c>
      <c r="E197" s="118" t="s">
        <v>268</v>
      </c>
    </row>
    <row r="198" spans="1:5" s="77" customFormat="1" ht="12" customHeight="1">
      <c r="A198" s="94"/>
      <c r="B198" s="94"/>
      <c r="C198" s="46"/>
      <c r="D198" s="36">
        <v>330531500</v>
      </c>
      <c r="E198" s="118" t="s">
        <v>1126</v>
      </c>
    </row>
    <row r="199" spans="1:5" s="77" customFormat="1" ht="12" customHeight="1">
      <c r="A199" s="94"/>
      <c r="B199" s="94"/>
      <c r="C199" s="37">
        <v>4323</v>
      </c>
      <c r="D199" s="38"/>
      <c r="E199" s="148"/>
    </row>
    <row r="200" spans="1:5" s="77" customFormat="1" ht="12" customHeight="1">
      <c r="A200" s="788"/>
      <c r="B200" s="788"/>
      <c r="C200" s="779" t="s">
        <v>131</v>
      </c>
      <c r="D200" s="772">
        <f>SUM(D201:D202)</f>
        <v>751088807</v>
      </c>
      <c r="E200" s="797"/>
    </row>
    <row r="201" spans="1:5" s="77" customFormat="1" ht="12" customHeight="1">
      <c r="A201" s="94"/>
      <c r="B201" s="94"/>
      <c r="C201" s="46"/>
      <c r="D201" s="36">
        <v>451778000</v>
      </c>
      <c r="E201" s="138" t="s">
        <v>949</v>
      </c>
    </row>
    <row r="202" spans="1:5" s="77" customFormat="1" ht="12" customHeight="1">
      <c r="A202" s="94"/>
      <c r="B202" s="94"/>
      <c r="C202" s="32"/>
      <c r="D202" s="19">
        <v>299310807</v>
      </c>
      <c r="E202" s="139" t="s">
        <v>298</v>
      </c>
    </row>
    <row r="203" spans="1:5" s="77" customFormat="1" ht="12" customHeight="1">
      <c r="A203" s="94"/>
      <c r="B203" s="94"/>
      <c r="C203" s="35">
        <v>4324</v>
      </c>
      <c r="D203" s="101"/>
      <c r="E203" s="149"/>
    </row>
    <row r="204" spans="1:5" s="77" customFormat="1" ht="12" customHeight="1">
      <c r="A204" s="94"/>
      <c r="B204" s="94"/>
      <c r="C204" s="46" t="s">
        <v>61</v>
      </c>
      <c r="D204" s="36">
        <f>D205</f>
        <v>152220000</v>
      </c>
      <c r="E204" s="138"/>
    </row>
    <row r="205" spans="1:5" s="77" customFormat="1" ht="12" customHeight="1">
      <c r="A205" s="94"/>
      <c r="B205" s="94"/>
      <c r="C205" s="32"/>
      <c r="D205" s="19">
        <v>152220000</v>
      </c>
      <c r="E205" s="139" t="s">
        <v>260</v>
      </c>
    </row>
    <row r="206" spans="1:5" s="77" customFormat="1" ht="12" customHeight="1">
      <c r="A206" s="94"/>
      <c r="B206" s="94"/>
      <c r="C206" s="37">
        <v>4325</v>
      </c>
      <c r="D206" s="38"/>
      <c r="E206" s="148"/>
    </row>
    <row r="207" spans="1:5" s="77" customFormat="1" ht="12" customHeight="1">
      <c r="A207" s="94"/>
      <c r="B207" s="94"/>
      <c r="C207" s="46" t="s">
        <v>193</v>
      </c>
      <c r="D207" s="36">
        <f>SUM(D208:D214)</f>
        <v>2460548037</v>
      </c>
      <c r="E207" s="138"/>
    </row>
    <row r="208" spans="1:5" s="77" customFormat="1" ht="12" customHeight="1">
      <c r="A208" s="94"/>
      <c r="B208" s="94"/>
      <c r="C208" s="46"/>
      <c r="D208" s="36">
        <v>93000000</v>
      </c>
      <c r="E208" s="138" t="s">
        <v>261</v>
      </c>
    </row>
    <row r="209" spans="1:5" s="77" customFormat="1" ht="12" customHeight="1">
      <c r="A209" s="94"/>
      <c r="B209" s="94"/>
      <c r="C209" s="46"/>
      <c r="D209" s="36">
        <v>31200000</v>
      </c>
      <c r="E209" s="138" t="s">
        <v>1127</v>
      </c>
    </row>
    <row r="210" spans="1:5" s="77" customFormat="1" ht="12" customHeight="1">
      <c r="A210" s="94"/>
      <c r="B210" s="94"/>
      <c r="C210" s="46"/>
      <c r="D210" s="36">
        <v>173810000</v>
      </c>
      <c r="E210" s="138" t="s">
        <v>412</v>
      </c>
    </row>
    <row r="211" spans="1:5" s="77" customFormat="1" ht="12" customHeight="1">
      <c r="A211" s="94"/>
      <c r="B211" s="94"/>
      <c r="C211" s="46"/>
      <c r="D211" s="36">
        <v>826909000</v>
      </c>
      <c r="E211" s="138" t="s">
        <v>1128</v>
      </c>
    </row>
    <row r="212" spans="1:5" s="77" customFormat="1" ht="12" customHeight="1">
      <c r="A212" s="94"/>
      <c r="B212" s="94"/>
      <c r="C212" s="46"/>
      <c r="D212" s="36">
        <v>112654000</v>
      </c>
      <c r="E212" s="138" t="s">
        <v>1129</v>
      </c>
    </row>
    <row r="213" spans="1:5" s="77" customFormat="1" ht="12" customHeight="1">
      <c r="A213" s="94"/>
      <c r="B213" s="94"/>
      <c r="C213" s="46"/>
      <c r="D213" s="36">
        <v>479220000</v>
      </c>
      <c r="E213" s="138" t="s">
        <v>1130</v>
      </c>
    </row>
    <row r="214" spans="1:5" s="77" customFormat="1" ht="12" customHeight="1">
      <c r="A214" s="789"/>
      <c r="B214" s="789"/>
      <c r="C214" s="771"/>
      <c r="D214" s="770">
        <v>743755037</v>
      </c>
      <c r="E214" s="798" t="s">
        <v>1131</v>
      </c>
    </row>
    <row r="215" spans="1:5" s="77" customFormat="1" ht="12" customHeight="1">
      <c r="A215" s="978"/>
      <c r="B215" s="978"/>
      <c r="C215" s="976">
        <v>4329</v>
      </c>
      <c r="D215" s="977"/>
      <c r="E215" s="172"/>
    </row>
    <row r="216" spans="1:5" s="77" customFormat="1" ht="12" customHeight="1">
      <c r="A216" s="94"/>
      <c r="B216" s="94"/>
      <c r="C216" s="46" t="s">
        <v>63</v>
      </c>
      <c r="D216" s="36">
        <f>SUM(D217:D225)</f>
        <v>2493385988</v>
      </c>
      <c r="E216" s="138"/>
    </row>
    <row r="217" spans="1:5" s="77" customFormat="1" ht="12" customHeight="1">
      <c r="A217" s="94"/>
      <c r="B217" s="94"/>
      <c r="C217" s="46"/>
      <c r="D217" s="36">
        <v>37928000</v>
      </c>
      <c r="E217" s="138" t="s">
        <v>330</v>
      </c>
    </row>
    <row r="218" spans="1:5" s="77" customFormat="1" ht="12" customHeight="1">
      <c r="A218" s="94"/>
      <c r="B218" s="94"/>
      <c r="C218" s="46"/>
      <c r="D218" s="36">
        <v>133400000</v>
      </c>
      <c r="E218" s="138" t="s">
        <v>265</v>
      </c>
    </row>
    <row r="219" spans="1:5" s="77" customFormat="1" ht="12" customHeight="1">
      <c r="A219" s="94"/>
      <c r="B219" s="94"/>
      <c r="C219" s="46"/>
      <c r="D219" s="36">
        <v>84080000</v>
      </c>
      <c r="E219" s="138" t="s">
        <v>266</v>
      </c>
    </row>
    <row r="220" spans="1:5" s="77" customFormat="1" ht="12" customHeight="1">
      <c r="A220" s="94"/>
      <c r="B220" s="94"/>
      <c r="C220" s="46"/>
      <c r="D220" s="36">
        <v>210939000</v>
      </c>
      <c r="E220" s="138" t="s">
        <v>267</v>
      </c>
    </row>
    <row r="221" spans="1:5" s="77" customFormat="1" ht="12" customHeight="1">
      <c r="A221" s="94"/>
      <c r="B221" s="94"/>
      <c r="C221" s="46"/>
      <c r="D221" s="36">
        <v>105000000</v>
      </c>
      <c r="E221" s="138" t="s">
        <v>299</v>
      </c>
    </row>
    <row r="222" spans="1:5" s="77" customFormat="1" ht="12" customHeight="1">
      <c r="A222" s="94"/>
      <c r="B222" s="94"/>
      <c r="C222" s="46"/>
      <c r="D222" s="36">
        <v>951601000</v>
      </c>
      <c r="E222" s="138" t="s">
        <v>1132</v>
      </c>
    </row>
    <row r="223" spans="1:5" s="77" customFormat="1" ht="12" customHeight="1">
      <c r="A223" s="94"/>
      <c r="B223" s="94"/>
      <c r="C223" s="46"/>
      <c r="D223" s="36">
        <v>105260000</v>
      </c>
      <c r="E223" s="138" t="s">
        <v>1133</v>
      </c>
    </row>
    <row r="224" spans="1:5" s="77" customFormat="1" ht="12" customHeight="1">
      <c r="A224" s="94"/>
      <c r="B224" s="94"/>
      <c r="C224" s="46"/>
      <c r="D224" s="36">
        <v>585632000</v>
      </c>
      <c r="E224" s="138" t="s">
        <v>882</v>
      </c>
    </row>
    <row r="225" spans="1:5" s="77" customFormat="1" ht="12" customHeight="1">
      <c r="A225" s="94"/>
      <c r="B225" s="97"/>
      <c r="C225" s="32"/>
      <c r="D225" s="19">
        <v>279545988</v>
      </c>
      <c r="E225" s="139" t="s">
        <v>1134</v>
      </c>
    </row>
    <row r="226" spans="1:5" s="77" customFormat="1" ht="12" customHeight="1">
      <c r="A226" s="94"/>
      <c r="B226" s="399">
        <v>4330</v>
      </c>
      <c r="C226" s="37"/>
      <c r="D226" s="38"/>
      <c r="E226" s="148"/>
    </row>
    <row r="227" spans="1:5" s="77" customFormat="1" ht="12" customHeight="1">
      <c r="A227" s="94"/>
      <c r="B227" s="397" t="s">
        <v>89</v>
      </c>
      <c r="C227" s="42"/>
      <c r="D227" s="19">
        <f>D229+D241</f>
        <v>5398196506</v>
      </c>
      <c r="E227" s="139"/>
    </row>
    <row r="228" spans="1:5" s="77" customFormat="1" ht="12" customHeight="1">
      <c r="A228" s="94"/>
      <c r="B228" s="94"/>
      <c r="C228" s="132">
        <v>4331</v>
      </c>
      <c r="D228" s="101"/>
      <c r="E228" s="149"/>
    </row>
    <row r="229" spans="1:5" s="77" customFormat="1" ht="13.5" customHeight="1">
      <c r="A229" s="788"/>
      <c r="B229" s="788"/>
      <c r="C229" s="779" t="s">
        <v>194</v>
      </c>
      <c r="D229" s="786">
        <f>SUM(D230:D239)</f>
        <v>1778637250</v>
      </c>
      <c r="E229" s="801"/>
    </row>
    <row r="230" spans="1:5" s="77" customFormat="1" ht="13.5" customHeight="1">
      <c r="A230" s="788"/>
      <c r="B230" s="788"/>
      <c r="C230" s="779"/>
      <c r="D230" s="786">
        <v>1540437250</v>
      </c>
      <c r="E230" s="797" t="s">
        <v>140</v>
      </c>
    </row>
    <row r="231" spans="1:5" s="77" customFormat="1" ht="13.5" customHeight="1">
      <c r="A231" s="94"/>
      <c r="B231" s="94"/>
      <c r="C231" s="46"/>
      <c r="D231" s="88">
        <v>6000000</v>
      </c>
      <c r="E231" s="118" t="s">
        <v>142</v>
      </c>
    </row>
    <row r="232" spans="1:5" s="77" customFormat="1" ht="13.5" customHeight="1">
      <c r="A232" s="94"/>
      <c r="B232" s="94"/>
      <c r="C232" s="46"/>
      <c r="D232" s="88">
        <v>3200000</v>
      </c>
      <c r="E232" s="118" t="s">
        <v>141</v>
      </c>
    </row>
    <row r="233" spans="1:5" s="77" customFormat="1" ht="13.5" customHeight="1">
      <c r="A233" s="94"/>
      <c r="B233" s="94"/>
      <c r="C233" s="46"/>
      <c r="D233" s="88">
        <v>27000000</v>
      </c>
      <c r="E233" s="118" t="s">
        <v>152</v>
      </c>
    </row>
    <row r="234" spans="1:5" s="77" customFormat="1" ht="13.5" customHeight="1">
      <c r="A234" s="94"/>
      <c r="B234" s="94"/>
      <c r="C234" s="46"/>
      <c r="D234" s="88">
        <v>26000000</v>
      </c>
      <c r="E234" s="118" t="s">
        <v>153</v>
      </c>
    </row>
    <row r="235" spans="1:5" s="77" customFormat="1" ht="13.5" customHeight="1">
      <c r="A235" s="94"/>
      <c r="B235" s="94"/>
      <c r="C235" s="46"/>
      <c r="D235" s="88">
        <v>53000000</v>
      </c>
      <c r="E235" s="118" t="s">
        <v>268</v>
      </c>
    </row>
    <row r="236" spans="1:5" s="77" customFormat="1" ht="13.5" customHeight="1">
      <c r="A236" s="94"/>
      <c r="B236" s="94"/>
      <c r="C236" s="46"/>
      <c r="D236" s="88">
        <v>50000000</v>
      </c>
      <c r="E236" s="118" t="s">
        <v>154</v>
      </c>
    </row>
    <row r="237" spans="1:5" s="77" customFormat="1" ht="12" customHeight="1">
      <c r="A237" s="94"/>
      <c r="B237" s="94"/>
      <c r="C237" s="46"/>
      <c r="D237" s="88">
        <v>6500000</v>
      </c>
      <c r="E237" s="118" t="s">
        <v>143</v>
      </c>
    </row>
    <row r="238" spans="1:5" s="77" customFormat="1" ht="12" customHeight="1">
      <c r="A238" s="94"/>
      <c r="B238" s="94"/>
      <c r="C238" s="46"/>
      <c r="D238" s="88">
        <v>62500000</v>
      </c>
      <c r="E238" s="118" t="s">
        <v>157</v>
      </c>
    </row>
    <row r="239" spans="1:5" s="77" customFormat="1" ht="12" customHeight="1">
      <c r="A239" s="788"/>
      <c r="B239" s="788"/>
      <c r="C239" s="46"/>
      <c r="D239" s="88">
        <v>4000000</v>
      </c>
      <c r="E239" s="118" t="s">
        <v>158</v>
      </c>
    </row>
    <row r="240" spans="1:5" s="77" customFormat="1" ht="12" customHeight="1">
      <c r="A240" s="788"/>
      <c r="B240" s="788"/>
      <c r="C240" s="37">
        <v>4332</v>
      </c>
      <c r="D240" s="107"/>
      <c r="E240" s="151"/>
    </row>
    <row r="241" spans="1:5" s="77" customFormat="1" ht="12" customHeight="1">
      <c r="A241" s="94"/>
      <c r="B241" s="94"/>
      <c r="C241" s="46" t="s">
        <v>133</v>
      </c>
      <c r="D241" s="88">
        <f>SUM(D242:D251)</f>
        <v>3619559256</v>
      </c>
      <c r="E241" s="146"/>
    </row>
    <row r="242" spans="1:5" s="77" customFormat="1" ht="12" customHeight="1">
      <c r="A242" s="94"/>
      <c r="B242" s="94"/>
      <c r="C242" s="46"/>
      <c r="D242" s="167">
        <v>3381254156</v>
      </c>
      <c r="E242" s="138" t="s">
        <v>140</v>
      </c>
    </row>
    <row r="243" spans="1:5" s="77" customFormat="1" ht="12" customHeight="1">
      <c r="A243" s="94"/>
      <c r="B243" s="94"/>
      <c r="C243" s="46"/>
      <c r="D243" s="167">
        <v>22100000</v>
      </c>
      <c r="E243" s="118" t="s">
        <v>142</v>
      </c>
    </row>
    <row r="244" spans="1:5" s="77" customFormat="1" ht="12" customHeight="1">
      <c r="A244" s="94"/>
      <c r="B244" s="94"/>
      <c r="C244" s="46"/>
      <c r="D244" s="167">
        <v>16200000</v>
      </c>
      <c r="E244" s="118" t="s">
        <v>141</v>
      </c>
    </row>
    <row r="245" spans="1:5" s="77" customFormat="1" ht="12" customHeight="1">
      <c r="A245" s="94"/>
      <c r="B245" s="94"/>
      <c r="C245" s="46"/>
      <c r="D245" s="167">
        <v>24000000</v>
      </c>
      <c r="E245" s="118" t="s">
        <v>152</v>
      </c>
    </row>
    <row r="246" spans="1:5" s="77" customFormat="1" ht="12" customHeight="1">
      <c r="A246" s="94"/>
      <c r="B246" s="94"/>
      <c r="C246" s="46"/>
      <c r="D246" s="167">
        <v>28950000</v>
      </c>
      <c r="E246" s="118" t="s">
        <v>153</v>
      </c>
    </row>
    <row r="247" spans="1:5" s="77" customFormat="1" ht="12" customHeight="1">
      <c r="A247" s="94"/>
      <c r="B247" s="94"/>
      <c r="C247" s="46"/>
      <c r="D247" s="167">
        <v>31000000</v>
      </c>
      <c r="E247" s="118" t="s">
        <v>268</v>
      </c>
    </row>
    <row r="248" spans="1:5" s="77" customFormat="1" ht="12" customHeight="1">
      <c r="A248" s="94"/>
      <c r="B248" s="94"/>
      <c r="C248" s="46"/>
      <c r="D248" s="167">
        <v>18755100</v>
      </c>
      <c r="E248" s="118" t="s">
        <v>154</v>
      </c>
    </row>
    <row r="249" spans="1:5" s="77" customFormat="1" ht="12" customHeight="1">
      <c r="A249" s="943"/>
      <c r="B249" s="943"/>
      <c r="C249" s="924"/>
      <c r="D249" s="167">
        <v>15500000</v>
      </c>
      <c r="E249" s="118" t="s">
        <v>143</v>
      </c>
    </row>
    <row r="250" spans="1:5" s="77" customFormat="1" ht="12" customHeight="1">
      <c r="A250" s="944"/>
      <c r="B250" s="944"/>
      <c r="C250" s="913"/>
      <c r="D250" s="851">
        <v>61300000</v>
      </c>
      <c r="E250" s="209" t="s">
        <v>157</v>
      </c>
    </row>
    <row r="251" spans="1:5" s="77" customFormat="1" ht="12" customHeight="1">
      <c r="A251" s="94"/>
      <c r="B251" s="94"/>
      <c r="C251" s="46"/>
      <c r="D251" s="167">
        <v>20500000</v>
      </c>
      <c r="E251" s="118" t="s">
        <v>158</v>
      </c>
    </row>
    <row r="252" spans="1:5" s="77" customFormat="1" ht="12" customHeight="1">
      <c r="A252" s="399">
        <v>4400</v>
      </c>
      <c r="B252" s="399"/>
      <c r="C252" s="37"/>
      <c r="D252" s="107"/>
      <c r="E252" s="151"/>
    </row>
    <row r="253" spans="1:5" s="77" customFormat="1" ht="12" customHeight="1">
      <c r="A253" s="397" t="s">
        <v>90</v>
      </c>
      <c r="B253" s="397"/>
      <c r="C253" s="32"/>
      <c r="D253" s="51">
        <f>D255+D260</f>
        <v>1858116194</v>
      </c>
      <c r="E253" s="150"/>
    </row>
    <row r="254" spans="1:5" s="77" customFormat="1" ht="12" customHeight="1">
      <c r="A254" s="94"/>
      <c r="B254" s="399">
        <v>4410</v>
      </c>
      <c r="C254" s="37"/>
      <c r="D254" s="107"/>
      <c r="E254" s="151"/>
    </row>
    <row r="255" spans="1:5" s="77" customFormat="1" ht="12" customHeight="1">
      <c r="A255" s="94"/>
      <c r="B255" s="397" t="s">
        <v>65</v>
      </c>
      <c r="C255" s="32"/>
      <c r="D255" s="19">
        <f>D257</f>
        <v>588116194</v>
      </c>
      <c r="E255" s="139"/>
    </row>
    <row r="256" spans="1:5" s="77" customFormat="1" ht="12" customHeight="1">
      <c r="A256" s="94"/>
      <c r="B256" s="94"/>
      <c r="C256" s="37">
        <v>4411</v>
      </c>
      <c r="D256" s="38"/>
      <c r="E256" s="148"/>
    </row>
    <row r="257" spans="1:5" s="77" customFormat="1" ht="12" customHeight="1">
      <c r="A257" s="94"/>
      <c r="B257" s="94"/>
      <c r="C257" s="46" t="s">
        <v>65</v>
      </c>
      <c r="D257" s="88">
        <f>SUM(D258:D258)</f>
        <v>588116194</v>
      </c>
      <c r="E257" s="146"/>
    </row>
    <row r="258" spans="1:5" s="77" customFormat="1" ht="12" customHeight="1">
      <c r="A258" s="94"/>
      <c r="B258" s="94"/>
      <c r="C258" s="46"/>
      <c r="D258" s="88">
        <v>588116194</v>
      </c>
      <c r="E258" s="146" t="s">
        <v>269</v>
      </c>
    </row>
    <row r="259" spans="1:5" s="77" customFormat="1" ht="12" customHeight="1">
      <c r="A259" s="94"/>
      <c r="B259" s="399">
        <v>4420</v>
      </c>
      <c r="C259" s="37"/>
      <c r="D259" s="107"/>
      <c r="E259" s="151"/>
    </row>
    <row r="260" spans="1:5" s="77" customFormat="1" ht="12" customHeight="1">
      <c r="A260" s="94"/>
      <c r="B260" s="397" t="s">
        <v>66</v>
      </c>
      <c r="C260" s="42"/>
      <c r="D260" s="19">
        <f>D262</f>
        <v>1270000000</v>
      </c>
      <c r="E260" s="139"/>
    </row>
    <row r="261" spans="1:5" s="77" customFormat="1" ht="12" customHeight="1">
      <c r="A261" s="94"/>
      <c r="B261" s="94"/>
      <c r="C261" s="43">
        <v>4421</v>
      </c>
      <c r="D261" s="38"/>
      <c r="E261" s="148"/>
    </row>
    <row r="262" spans="1:5" s="77" customFormat="1" ht="12" customHeight="1">
      <c r="A262" s="94"/>
      <c r="B262" s="94"/>
      <c r="C262" s="46" t="s">
        <v>67</v>
      </c>
      <c r="D262" s="36">
        <f>SUM(D263)</f>
        <v>1270000000</v>
      </c>
      <c r="E262" s="138"/>
    </row>
    <row r="263" spans="1:5" s="77" customFormat="1" ht="12" customHeight="1">
      <c r="A263" s="97"/>
      <c r="B263" s="97"/>
      <c r="C263" s="32"/>
      <c r="D263" s="19">
        <v>1270000000</v>
      </c>
      <c r="E263" s="139" t="s">
        <v>1754</v>
      </c>
    </row>
    <row r="264" spans="1:5" s="77" customFormat="1" ht="12" customHeight="1">
      <c r="A264" s="399">
        <v>4600</v>
      </c>
      <c r="B264" s="399"/>
      <c r="C264" s="37"/>
      <c r="D264" s="107"/>
      <c r="E264" s="151"/>
    </row>
    <row r="265" spans="1:5" s="77" customFormat="1" ht="12" customHeight="1">
      <c r="A265" s="403" t="s">
        <v>195</v>
      </c>
      <c r="B265" s="398"/>
      <c r="C265" s="32"/>
      <c r="D265" s="51">
        <f>D267</f>
        <v>1600672812</v>
      </c>
      <c r="E265" s="150"/>
    </row>
    <row r="266" spans="1:5" s="77" customFormat="1" ht="12" customHeight="1">
      <c r="A266" s="113"/>
      <c r="B266" s="399">
        <v>4610</v>
      </c>
      <c r="C266" s="37"/>
      <c r="D266" s="107"/>
      <c r="E266" s="151"/>
    </row>
    <row r="267" spans="1:5" s="77" customFormat="1" ht="12" customHeight="1">
      <c r="A267" s="788"/>
      <c r="B267" s="813" t="s">
        <v>91</v>
      </c>
      <c r="C267" s="32"/>
      <c r="D267" s="19">
        <f>D269</f>
        <v>1600672812</v>
      </c>
      <c r="E267" s="139"/>
    </row>
    <row r="268" spans="1:5" s="77" customFormat="1" ht="12" customHeight="1">
      <c r="A268" s="810"/>
      <c r="B268" s="810"/>
      <c r="C268" s="773">
        <v>4611</v>
      </c>
      <c r="D268" s="774"/>
      <c r="E268" s="803"/>
    </row>
    <row r="269" spans="1:5" s="77" customFormat="1" ht="12" customHeight="1">
      <c r="A269" s="94"/>
      <c r="B269" s="94"/>
      <c r="C269" s="46" t="s">
        <v>91</v>
      </c>
      <c r="D269" s="88">
        <f>SUM(D270)</f>
        <v>1600672812</v>
      </c>
      <c r="E269" s="146"/>
    </row>
    <row r="270" spans="1:5" s="77" customFormat="1" ht="12" customHeight="1">
      <c r="A270" s="97"/>
      <c r="B270" s="97"/>
      <c r="C270" s="32"/>
      <c r="D270" s="51">
        <v>1600672812</v>
      </c>
      <c r="E270" s="150" t="s">
        <v>270</v>
      </c>
    </row>
    <row r="271" spans="1:5" s="77" customFormat="1" ht="12" customHeight="1">
      <c r="A271" s="400">
        <v>1200</v>
      </c>
      <c r="B271" s="94"/>
      <c r="C271" s="46"/>
      <c r="D271" s="88"/>
      <c r="E271" s="146"/>
    </row>
    <row r="272" spans="1:5" s="77" customFormat="1" ht="12" customHeight="1">
      <c r="A272" s="94" t="s">
        <v>331</v>
      </c>
      <c r="B272" s="94"/>
      <c r="C272" s="46"/>
      <c r="D272" s="88">
        <f>D274+D280</f>
        <v>13116129068</v>
      </c>
      <c r="E272" s="146"/>
    </row>
    <row r="273" spans="1:5" s="77" customFormat="1" ht="12" customHeight="1">
      <c r="A273" s="94"/>
      <c r="B273" s="678">
        <v>1240</v>
      </c>
      <c r="C273" s="40"/>
      <c r="D273" s="50"/>
      <c r="E273" s="152"/>
    </row>
    <row r="274" spans="1:5" s="77" customFormat="1" ht="12" customHeight="1">
      <c r="A274" s="94"/>
      <c r="B274" s="145" t="s">
        <v>1148</v>
      </c>
      <c r="C274" s="46"/>
      <c r="D274" s="88">
        <f>D275+D277</f>
        <v>155510000</v>
      </c>
      <c r="E274" s="146"/>
    </row>
    <row r="275" spans="1:5" s="77" customFormat="1" ht="12" customHeight="1">
      <c r="A275" s="94"/>
      <c r="B275" s="94"/>
      <c r="C275" s="37">
        <v>1242</v>
      </c>
      <c r="D275" s="50">
        <f>D276</f>
        <v>117000000</v>
      </c>
      <c r="E275" s="152"/>
    </row>
    <row r="276" spans="1:5" s="77" customFormat="1" ht="12" customHeight="1">
      <c r="A276" s="94"/>
      <c r="B276" s="94"/>
      <c r="C276" s="46" t="s">
        <v>1150</v>
      </c>
      <c r="D276" s="88">
        <v>117000000</v>
      </c>
      <c r="E276" s="146"/>
    </row>
    <row r="277" spans="1:5" s="77" customFormat="1" ht="12" customHeight="1">
      <c r="A277" s="94"/>
      <c r="B277" s="94"/>
      <c r="C277" s="37">
        <v>1249</v>
      </c>
      <c r="D277" s="50">
        <f>D278</f>
        <v>38510000</v>
      </c>
      <c r="E277" s="152"/>
    </row>
    <row r="278" spans="1:5" s="77" customFormat="1" ht="12" customHeight="1">
      <c r="A278" s="94"/>
      <c r="B278" s="94"/>
      <c r="C278" s="46" t="s">
        <v>1151</v>
      </c>
      <c r="D278" s="88">
        <v>38510000</v>
      </c>
      <c r="E278" s="146"/>
    </row>
    <row r="279" spans="1:5" s="77" customFormat="1" ht="12" customHeight="1">
      <c r="A279" s="94"/>
      <c r="B279" s="399">
        <v>1260</v>
      </c>
      <c r="C279" s="40"/>
      <c r="D279" s="50"/>
      <c r="E279" s="152"/>
    </row>
    <row r="280" spans="1:5" s="77" customFormat="1" ht="12" customHeight="1">
      <c r="A280" s="94"/>
      <c r="B280" s="470" t="s">
        <v>307</v>
      </c>
      <c r="C280" s="46"/>
      <c r="D280" s="88">
        <f>D282+D285+D288+D290</f>
        <v>12960619068</v>
      </c>
      <c r="E280" s="146"/>
    </row>
    <row r="281" spans="1:5" s="77" customFormat="1" ht="12" customHeight="1">
      <c r="A281" s="94"/>
      <c r="B281" s="94"/>
      <c r="C281" s="37">
        <v>1262</v>
      </c>
      <c r="D281" s="50"/>
      <c r="E281" s="152"/>
    </row>
    <row r="282" spans="1:5" s="77" customFormat="1" ht="12" customHeight="1">
      <c r="A282" s="788"/>
      <c r="B282" s="788"/>
      <c r="C282" s="779" t="s">
        <v>883</v>
      </c>
      <c r="D282" s="786">
        <f>D283</f>
        <v>70000000</v>
      </c>
      <c r="E282" s="801"/>
    </row>
    <row r="283" spans="1:5" s="77" customFormat="1" ht="12" customHeight="1">
      <c r="A283" s="94"/>
      <c r="B283" s="94"/>
      <c r="C283" s="46"/>
      <c r="D283" s="88">
        <v>70000000</v>
      </c>
      <c r="E283" s="146" t="s">
        <v>886</v>
      </c>
    </row>
    <row r="284" spans="1:5" s="77" customFormat="1" ht="12" customHeight="1">
      <c r="A284" s="94"/>
      <c r="B284" s="94"/>
      <c r="C284" s="37">
        <v>1263</v>
      </c>
      <c r="D284" s="50"/>
      <c r="E284" s="152"/>
    </row>
    <row r="285" spans="1:5" s="77" customFormat="1" ht="12" customHeight="1">
      <c r="A285" s="943"/>
      <c r="B285" s="943"/>
      <c r="C285" s="924" t="s">
        <v>308</v>
      </c>
      <c r="D285" s="938">
        <f>D286</f>
        <v>4950000000</v>
      </c>
      <c r="E285" s="957"/>
    </row>
    <row r="286" spans="1:5" s="77" customFormat="1" ht="12" customHeight="1">
      <c r="A286" s="944"/>
      <c r="B286" s="944"/>
      <c r="C286" s="913"/>
      <c r="D286" s="927">
        <v>4950000000</v>
      </c>
      <c r="E286" s="961" t="s">
        <v>887</v>
      </c>
    </row>
    <row r="287" spans="1:5" s="77" customFormat="1" ht="12" customHeight="1">
      <c r="A287" s="94"/>
      <c r="B287" s="94"/>
      <c r="C287" s="914">
        <v>1264</v>
      </c>
      <c r="D287" s="938"/>
      <c r="E287" s="957"/>
    </row>
    <row r="288" spans="1:5" s="77" customFormat="1" ht="12" customHeight="1">
      <c r="A288" s="94"/>
      <c r="B288" s="94"/>
      <c r="C288" s="46" t="s">
        <v>884</v>
      </c>
      <c r="D288" s="88">
        <f>D289</f>
        <v>2260000000</v>
      </c>
      <c r="E288" s="146"/>
    </row>
    <row r="289" spans="1:5" s="77" customFormat="1" ht="12" customHeight="1">
      <c r="A289" s="94"/>
      <c r="B289" s="94"/>
      <c r="C289" s="46"/>
      <c r="D289" s="88">
        <v>2260000000</v>
      </c>
      <c r="E289" s="146" t="s">
        <v>888</v>
      </c>
    </row>
    <row r="290" spans="1:5" s="77" customFormat="1" ht="12" customHeight="1">
      <c r="A290" s="94"/>
      <c r="B290" s="94"/>
      <c r="C290" s="37">
        <v>1266</v>
      </c>
      <c r="D290" s="50">
        <f>D291</f>
        <v>5680619068</v>
      </c>
      <c r="E290" s="152"/>
    </row>
    <row r="291" spans="1:5" s="77" customFormat="1" ht="12" customHeight="1">
      <c r="A291" s="94"/>
      <c r="B291" s="94"/>
      <c r="C291" s="46" t="s">
        <v>885</v>
      </c>
      <c r="D291" s="88">
        <v>5680619068</v>
      </c>
      <c r="E291" s="146" t="s">
        <v>889</v>
      </c>
    </row>
    <row r="292" spans="1:5" s="77" customFormat="1" ht="12" customHeight="1">
      <c r="A292" s="399">
        <v>1300</v>
      </c>
      <c r="B292" s="399"/>
      <c r="C292" s="37"/>
      <c r="D292" s="45"/>
      <c r="E292" s="153"/>
    </row>
    <row r="293" spans="1:5" s="77" customFormat="1" ht="12" customHeight="1">
      <c r="A293" s="397" t="s">
        <v>196</v>
      </c>
      <c r="B293" s="398"/>
      <c r="C293" s="32"/>
      <c r="D293" s="19">
        <f>D295</f>
        <v>22687456547</v>
      </c>
      <c r="E293" s="139"/>
    </row>
    <row r="294" spans="1:5" s="77" customFormat="1" ht="12" customHeight="1">
      <c r="A294" s="400"/>
      <c r="B294" s="400">
        <v>1310</v>
      </c>
      <c r="C294" s="37"/>
      <c r="D294" s="38"/>
      <c r="E294" s="148"/>
    </row>
    <row r="295" spans="1:5" s="77" customFormat="1" ht="12" customHeight="1">
      <c r="A295" s="403"/>
      <c r="B295" s="397" t="s">
        <v>92</v>
      </c>
      <c r="C295" s="32"/>
      <c r="D295" s="19">
        <f>D297+D300+D307+D311+D314</f>
        <v>22687456547</v>
      </c>
      <c r="E295" s="139"/>
    </row>
    <row r="296" spans="1:5" s="77" customFormat="1" ht="12" customHeight="1">
      <c r="A296" s="87"/>
      <c r="B296" s="400"/>
      <c r="C296" s="37">
        <v>1311</v>
      </c>
      <c r="D296" s="38"/>
      <c r="E296" s="148"/>
    </row>
    <row r="297" spans="1:5" s="77" customFormat="1" ht="12" customHeight="1">
      <c r="A297" s="113"/>
      <c r="B297" s="397"/>
      <c r="C297" s="46" t="s">
        <v>134</v>
      </c>
      <c r="D297" s="36">
        <f>SUM(D298)</f>
        <v>569296000</v>
      </c>
      <c r="E297" s="138"/>
    </row>
    <row r="298" spans="1:5" s="77" customFormat="1" ht="12" customHeight="1">
      <c r="A298" s="113"/>
      <c r="B298" s="397"/>
      <c r="C298" s="32"/>
      <c r="D298" s="19">
        <v>569296000</v>
      </c>
      <c r="E298" s="139" t="s">
        <v>890</v>
      </c>
    </row>
    <row r="299" spans="1:5" s="77" customFormat="1" ht="12" customHeight="1">
      <c r="A299" s="87"/>
      <c r="B299" s="400"/>
      <c r="C299" s="37">
        <v>1314</v>
      </c>
      <c r="D299" s="38"/>
      <c r="E299" s="148"/>
    </row>
    <row r="300" spans="1:5" s="77" customFormat="1" ht="12" customHeight="1">
      <c r="A300" s="113"/>
      <c r="B300" s="94"/>
      <c r="C300" s="46" t="s">
        <v>72</v>
      </c>
      <c r="D300" s="36">
        <f>SUM(D301:D305)</f>
        <v>547740910</v>
      </c>
      <c r="E300" s="138"/>
    </row>
    <row r="301" spans="1:5" s="77" customFormat="1" ht="12" customHeight="1">
      <c r="A301" s="113"/>
      <c r="B301" s="94"/>
      <c r="C301" s="46"/>
      <c r="D301" s="36">
        <v>56119000</v>
      </c>
      <c r="E301" s="138" t="s">
        <v>1135</v>
      </c>
    </row>
    <row r="302" spans="1:5" s="77" customFormat="1" ht="12" customHeight="1">
      <c r="A302" s="113"/>
      <c r="B302" s="94"/>
      <c r="C302" s="46"/>
      <c r="D302" s="36">
        <v>34985000</v>
      </c>
      <c r="E302" s="138" t="s">
        <v>1136</v>
      </c>
    </row>
    <row r="303" spans="1:5" s="77" customFormat="1" ht="12" customHeight="1">
      <c r="A303" s="113"/>
      <c r="B303" s="94"/>
      <c r="C303" s="46"/>
      <c r="D303" s="36">
        <v>119025000</v>
      </c>
      <c r="E303" s="138" t="s">
        <v>1137</v>
      </c>
    </row>
    <row r="304" spans="1:5" s="77" customFormat="1" ht="12" customHeight="1">
      <c r="A304" s="113"/>
      <c r="B304" s="94"/>
      <c r="C304" s="46"/>
      <c r="D304" s="36">
        <v>200000000</v>
      </c>
      <c r="E304" s="138" t="s">
        <v>1138</v>
      </c>
    </row>
    <row r="305" spans="1:5" s="77" customFormat="1" ht="12" customHeight="1">
      <c r="A305" s="113"/>
      <c r="B305" s="94"/>
      <c r="C305" s="46"/>
      <c r="D305" s="36">
        <v>137611910</v>
      </c>
      <c r="E305" s="138" t="s">
        <v>1139</v>
      </c>
    </row>
    <row r="306" spans="1:5" s="77" customFormat="1" ht="12" customHeight="1">
      <c r="A306" s="785"/>
      <c r="B306" s="810"/>
      <c r="C306" s="773">
        <v>1315</v>
      </c>
      <c r="D306" s="774"/>
      <c r="E306" s="803"/>
    </row>
    <row r="307" spans="1:5" s="77" customFormat="1" ht="12" customHeight="1">
      <c r="A307" s="792"/>
      <c r="B307" s="788"/>
      <c r="C307" s="779" t="s">
        <v>135</v>
      </c>
      <c r="D307" s="772">
        <f>SUM(D308:D309)</f>
        <v>676580787</v>
      </c>
      <c r="E307" s="797"/>
    </row>
    <row r="308" spans="1:5" s="77" customFormat="1" ht="12" customHeight="1">
      <c r="A308" s="113"/>
      <c r="B308" s="94"/>
      <c r="C308" s="46"/>
      <c r="D308" s="36">
        <v>176580787</v>
      </c>
      <c r="E308" s="138" t="s">
        <v>1140</v>
      </c>
    </row>
    <row r="309" spans="1:5" s="77" customFormat="1" ht="12" customHeight="1">
      <c r="A309" s="113"/>
      <c r="B309" s="94"/>
      <c r="C309" s="46"/>
      <c r="D309" s="36">
        <v>500000000</v>
      </c>
      <c r="E309" s="138" t="s">
        <v>1141</v>
      </c>
    </row>
    <row r="310" spans="1:5" s="77" customFormat="1" ht="12" customHeight="1">
      <c r="A310" s="87"/>
      <c r="B310" s="400"/>
      <c r="C310" s="37">
        <v>1317</v>
      </c>
      <c r="D310" s="38"/>
      <c r="E310" s="148"/>
    </row>
    <row r="311" spans="1:5" s="77" customFormat="1" ht="12" customHeight="1">
      <c r="A311" s="113"/>
      <c r="B311" s="94"/>
      <c r="C311" s="46" t="s">
        <v>136</v>
      </c>
      <c r="D311" s="36">
        <f>SUM(D312:D312)</f>
        <v>247000000</v>
      </c>
      <c r="E311" s="138"/>
    </row>
    <row r="312" spans="1:5" s="77" customFormat="1" ht="12" customHeight="1">
      <c r="A312" s="113"/>
      <c r="B312" s="94"/>
      <c r="C312" s="46"/>
      <c r="D312" s="36">
        <v>247000000</v>
      </c>
      <c r="E312" s="138" t="s">
        <v>273</v>
      </c>
    </row>
    <row r="313" spans="1:5" s="77" customFormat="1" ht="12" customHeight="1">
      <c r="A313" s="87"/>
      <c r="B313" s="400"/>
      <c r="C313" s="37">
        <v>1319</v>
      </c>
      <c r="D313" s="38"/>
      <c r="E313" s="148"/>
    </row>
    <row r="314" spans="1:5" s="77" customFormat="1" ht="12" customHeight="1">
      <c r="A314" s="113"/>
      <c r="B314" s="94"/>
      <c r="C314" s="46" t="s">
        <v>137</v>
      </c>
      <c r="D314" s="36">
        <f>SUM(D315:D319)</f>
        <v>20646838850</v>
      </c>
      <c r="E314" s="138"/>
    </row>
    <row r="315" spans="1:5" s="77" customFormat="1" ht="12" customHeight="1">
      <c r="A315" s="113"/>
      <c r="B315" s="94"/>
      <c r="C315" s="46"/>
      <c r="D315" s="36">
        <v>110000000</v>
      </c>
      <c r="E315" s="484" t="s">
        <v>1142</v>
      </c>
    </row>
    <row r="316" spans="1:5" s="77" customFormat="1" ht="12" customHeight="1">
      <c r="A316" s="113"/>
      <c r="B316" s="94"/>
      <c r="C316" s="46"/>
      <c r="D316" s="36">
        <v>160000000</v>
      </c>
      <c r="E316" s="484" t="s">
        <v>1143</v>
      </c>
    </row>
    <row r="317" spans="1:5" s="77" customFormat="1" ht="12" customHeight="1">
      <c r="A317" s="113"/>
      <c r="B317" s="94"/>
      <c r="C317" s="46"/>
      <c r="D317" s="36">
        <v>1551700000</v>
      </c>
      <c r="E317" s="484" t="s">
        <v>1144</v>
      </c>
    </row>
    <row r="318" spans="1:5" s="77" customFormat="1" ht="12" customHeight="1">
      <c r="A318" s="949"/>
      <c r="B318" s="943"/>
      <c r="C318" s="924"/>
      <c r="D318" s="915">
        <v>4432788000</v>
      </c>
      <c r="E318" s="484" t="s">
        <v>1762</v>
      </c>
    </row>
    <row r="319" spans="1:5" s="77" customFormat="1" ht="12" customHeight="1">
      <c r="A319" s="114"/>
      <c r="B319" s="97"/>
      <c r="C319" s="32"/>
      <c r="D319" s="19">
        <v>14392350850</v>
      </c>
      <c r="E319" s="485" t="s">
        <v>891</v>
      </c>
    </row>
    <row r="320" spans="1:5" s="77" customFormat="1" ht="12" customHeight="1">
      <c r="A320" s="78">
        <v>2200</v>
      </c>
      <c r="B320" s="399"/>
      <c r="C320" s="37"/>
      <c r="D320" s="38"/>
      <c r="E320" s="148"/>
    </row>
    <row r="321" spans="1:5" s="77" customFormat="1" ht="12" customHeight="1">
      <c r="A321" s="397" t="s">
        <v>73</v>
      </c>
      <c r="B321" s="398"/>
      <c r="C321" s="32"/>
      <c r="D321" s="19">
        <f>D323+D328</f>
        <v>2969831276</v>
      </c>
      <c r="E321" s="139"/>
    </row>
    <row r="322" spans="1:5" s="77" customFormat="1" ht="12" customHeight="1">
      <c r="A322" s="944"/>
      <c r="B322" s="978">
        <v>2210</v>
      </c>
      <c r="C322" s="976"/>
      <c r="D322" s="977"/>
      <c r="E322" s="172"/>
    </row>
    <row r="323" spans="1:5" s="77" customFormat="1" ht="12" customHeight="1">
      <c r="A323" s="944"/>
      <c r="B323" s="935" t="s">
        <v>138</v>
      </c>
      <c r="C323" s="32"/>
      <c r="D323" s="19">
        <f>D325</f>
        <v>2780944000</v>
      </c>
      <c r="E323" s="139"/>
    </row>
    <row r="324" spans="1:5" s="77" customFormat="1" ht="12" customHeight="1">
      <c r="A324" s="94"/>
      <c r="B324" s="94"/>
      <c r="C324" s="37">
        <v>2211</v>
      </c>
      <c r="D324" s="38"/>
      <c r="E324" s="148"/>
    </row>
    <row r="325" spans="1:5" s="77" customFormat="1" ht="12" customHeight="1">
      <c r="A325" s="788"/>
      <c r="B325" s="788"/>
      <c r="C325" s="779" t="s">
        <v>138</v>
      </c>
      <c r="D325" s="772">
        <f>D326</f>
        <v>2780944000</v>
      </c>
      <c r="E325" s="797"/>
    </row>
    <row r="326" spans="1:5" s="77" customFormat="1" ht="12" customHeight="1">
      <c r="A326" s="94"/>
      <c r="B326" s="523"/>
      <c r="C326" s="32"/>
      <c r="D326" s="19">
        <v>2780944000</v>
      </c>
      <c r="E326" s="139" t="s">
        <v>275</v>
      </c>
    </row>
    <row r="327" spans="1:5" s="77" customFormat="1" ht="12" customHeight="1">
      <c r="A327" s="94"/>
      <c r="B327" s="399">
        <v>2220</v>
      </c>
      <c r="C327" s="37"/>
      <c r="D327" s="38"/>
      <c r="E327" s="148"/>
    </row>
    <row r="328" spans="1:5" s="77" customFormat="1" ht="12" customHeight="1">
      <c r="A328" s="94"/>
      <c r="B328" s="397" t="s">
        <v>74</v>
      </c>
      <c r="C328" s="32"/>
      <c r="D328" s="44">
        <f>D330</f>
        <v>188887276</v>
      </c>
      <c r="E328" s="137"/>
    </row>
    <row r="329" spans="1:5" s="77" customFormat="1" ht="12" customHeight="1">
      <c r="A329" s="94"/>
      <c r="B329" s="400"/>
      <c r="C329" s="37">
        <v>2222</v>
      </c>
      <c r="D329" s="45"/>
      <c r="E329" s="153"/>
    </row>
    <row r="330" spans="1:5" s="77" customFormat="1" ht="12" customHeight="1">
      <c r="A330" s="94"/>
      <c r="B330" s="397"/>
      <c r="C330" s="46" t="s">
        <v>139</v>
      </c>
      <c r="D330" s="47">
        <f>D331</f>
        <v>188887276</v>
      </c>
      <c r="E330" s="136"/>
    </row>
    <row r="331" spans="1:5" s="77" customFormat="1" ht="12" customHeight="1">
      <c r="A331" s="94"/>
      <c r="B331" s="397"/>
      <c r="C331" s="32"/>
      <c r="D331" s="44">
        <v>188887276</v>
      </c>
      <c r="E331" s="137" t="s">
        <v>892</v>
      </c>
    </row>
    <row r="332" spans="1:5" s="77" customFormat="1" ht="20.25" customHeight="1">
      <c r="A332" s="1190" t="s">
        <v>11</v>
      </c>
      <c r="B332" s="1190"/>
      <c r="C332" s="1190"/>
      <c r="D332" s="171" t="s">
        <v>1766</v>
      </c>
      <c r="E332" s="170"/>
    </row>
  </sheetData>
  <mergeCells count="7">
    <mergeCell ref="A332:C332"/>
    <mergeCell ref="E4:E5"/>
    <mergeCell ref="A1:E1"/>
    <mergeCell ref="A2:E2"/>
    <mergeCell ref="A3:E3"/>
    <mergeCell ref="A4:C4"/>
    <mergeCell ref="D4:D5"/>
  </mergeCells>
  <printOptions/>
  <pageMargins left="0.7086614173228347" right="0.7086614173228347" top="0.7480314960629921" bottom="0.8267716535433072" header="0.31496062992125984" footer="0.3149606299212598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D21" sqref="D21"/>
    </sheetView>
  </sheetViews>
  <sheetFormatPr defaultColWidth="9.00390625" defaultRowHeight="14.25"/>
  <cols>
    <col min="1" max="16384" width="9.00390625" style="70" customWidth="1"/>
  </cols>
  <sheetData>
    <row r="9" ht="49.5" customHeight="1"/>
    <row r="10" spans="1:91" ht="51" customHeight="1">
      <c r="A10" s="990" t="s">
        <v>779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</sheetData>
  <mergeCells count="1"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A2" sqref="A2"/>
    </sheetView>
  </sheetViews>
  <sheetFormatPr defaultColWidth="9.00390625" defaultRowHeight="14.25"/>
  <cols>
    <col min="1" max="1" width="19.00390625" style="160" customWidth="1"/>
    <col min="2" max="4" width="9.00390625" style="160" customWidth="1"/>
    <col min="5" max="5" width="29.125" style="160" customWidth="1"/>
    <col min="6" max="16384" width="9.00390625" style="160" customWidth="1"/>
  </cols>
  <sheetData>
    <row r="1" spans="1:10" ht="39" customHeight="1">
      <c r="A1" s="988" t="s">
        <v>1655</v>
      </c>
      <c r="B1" s="988"/>
      <c r="C1" s="988"/>
      <c r="D1" s="988"/>
      <c r="E1" s="988"/>
      <c r="F1" s="988"/>
      <c r="G1" s="988"/>
      <c r="H1" s="988"/>
      <c r="I1" s="988"/>
      <c r="J1" s="988"/>
    </row>
    <row r="2" spans="1:8" ht="14.25">
      <c r="A2" s="165"/>
      <c r="B2" s="165"/>
      <c r="C2" s="165"/>
      <c r="D2" s="165"/>
      <c r="E2" s="165"/>
      <c r="F2" s="165"/>
      <c r="G2" s="165"/>
      <c r="H2" s="165"/>
    </row>
    <row r="16" spans="1:10" ht="14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ht="25.5">
      <c r="A17" s="989" t="s">
        <v>312</v>
      </c>
      <c r="B17" s="989"/>
      <c r="C17" s="989"/>
      <c r="D17" s="989"/>
      <c r="E17" s="989"/>
      <c r="F17" s="989"/>
      <c r="G17" s="989"/>
      <c r="H17" s="989"/>
      <c r="I17" s="989"/>
      <c r="J17" s="989"/>
    </row>
  </sheetData>
  <mergeCells count="2">
    <mergeCell ref="A1:J1"/>
    <mergeCell ref="A17:J17"/>
  </mergeCells>
  <printOptions horizontalCentered="1"/>
  <pageMargins left="0.7480314960629921" right="0.7480314960629921" top="2.322834645669291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8"/>
  <sheetViews>
    <sheetView workbookViewId="0" topLeftCell="A1">
      <selection activeCell="J15" sqref="J15"/>
    </sheetView>
  </sheetViews>
  <sheetFormatPr defaultColWidth="9.00390625" defaultRowHeight="14.25"/>
  <cols>
    <col min="1" max="16384" width="9.00390625" style="70" customWidth="1"/>
  </cols>
  <sheetData>
    <row r="10" spans="1:91" ht="51" customHeight="1">
      <c r="A10" s="990" t="s">
        <v>776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  <row r="12" ht="94.5" customHeight="1"/>
    <row r="18" spans="1:91" ht="51" customHeight="1">
      <c r="A18" s="1037" t="s">
        <v>779</v>
      </c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</row>
  </sheetData>
  <mergeCells count="2">
    <mergeCell ref="A10:M10"/>
    <mergeCell ref="A18:M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D9" sqref="D9"/>
    </sheetView>
  </sheetViews>
  <sheetFormatPr defaultColWidth="9.00390625" defaultRowHeight="14.25"/>
  <cols>
    <col min="1" max="2" width="13.625" style="69" customWidth="1"/>
    <col min="3" max="3" width="13.625" style="9" customWidth="1"/>
    <col min="4" max="4" width="24.375" style="9" customWidth="1"/>
    <col min="5" max="5" width="21.875" style="9" customWidth="1"/>
    <col min="6" max="6" width="16.875" style="9" customWidth="1"/>
    <col min="7" max="7" width="18.625" style="9" customWidth="1"/>
    <col min="8" max="16384" width="9.00390625" style="9" customWidth="1"/>
  </cols>
  <sheetData>
    <row r="1" spans="1:7" ht="34.5" customHeight="1">
      <c r="A1" s="993" t="s">
        <v>774</v>
      </c>
      <c r="B1" s="994"/>
      <c r="C1" s="994"/>
      <c r="D1" s="994"/>
      <c r="E1" s="994"/>
      <c r="F1" s="994"/>
      <c r="G1" s="994"/>
    </row>
    <row r="2" spans="1:7" ht="24.75" customHeight="1">
      <c r="A2" s="995" t="s">
        <v>942</v>
      </c>
      <c r="B2" s="995"/>
      <c r="C2" s="995"/>
      <c r="D2" s="995"/>
      <c r="E2" s="995"/>
      <c r="F2" s="995"/>
      <c r="G2" s="995"/>
    </row>
    <row r="3" spans="1:7" s="72" customFormat="1" ht="39.75" customHeight="1">
      <c r="A3" s="1080" t="s">
        <v>3</v>
      </c>
      <c r="B3" s="1081"/>
      <c r="C3" s="1081"/>
      <c r="D3" s="1081"/>
      <c r="E3" s="1081"/>
      <c r="F3" s="1081"/>
      <c r="G3" s="1082"/>
    </row>
    <row r="4" spans="1:7" s="73" customFormat="1" ht="18" customHeight="1">
      <c r="A4" s="992" t="s">
        <v>4</v>
      </c>
      <c r="B4" s="992"/>
      <c r="C4" s="992"/>
      <c r="D4" s="572" t="s">
        <v>946</v>
      </c>
      <c r="E4" s="572" t="s">
        <v>946</v>
      </c>
      <c r="F4" s="572" t="s">
        <v>948</v>
      </c>
      <c r="G4" s="992" t="s">
        <v>735</v>
      </c>
    </row>
    <row r="5" spans="1:7" s="73" customFormat="1" ht="21" customHeight="1">
      <c r="A5" s="675" t="s">
        <v>6</v>
      </c>
      <c r="B5" s="675" t="s">
        <v>7</v>
      </c>
      <c r="C5" s="675" t="s">
        <v>8</v>
      </c>
      <c r="D5" s="623" t="s">
        <v>1159</v>
      </c>
      <c r="E5" s="623" t="s">
        <v>1160</v>
      </c>
      <c r="F5" s="623" t="s">
        <v>397</v>
      </c>
      <c r="G5" s="992"/>
    </row>
    <row r="6" spans="1:7" s="95" customFormat="1" ht="14.25" customHeight="1">
      <c r="A6" s="334">
        <v>5100</v>
      </c>
      <c r="B6" s="335"/>
      <c r="C6" s="335"/>
      <c r="D6" s="310"/>
      <c r="E6" s="310"/>
      <c r="F6" s="310"/>
      <c r="G6" s="99"/>
    </row>
    <row r="7" spans="1:7" s="77" customFormat="1" ht="22.5" customHeight="1">
      <c r="A7" s="476" t="s">
        <v>908</v>
      </c>
      <c r="B7" s="475"/>
      <c r="C7" s="475"/>
      <c r="D7" s="318">
        <f>D9</f>
        <v>2771000000</v>
      </c>
      <c r="E7" s="578">
        <f>E9</f>
        <v>2771000000</v>
      </c>
      <c r="F7" s="318">
        <f>D7-E7</f>
        <v>0</v>
      </c>
      <c r="G7" s="76" t="s">
        <v>301</v>
      </c>
    </row>
    <row r="8" spans="1:7" s="95" customFormat="1" ht="12.75" customHeight="1">
      <c r="A8" s="348"/>
      <c r="B8" s="341" t="s">
        <v>909</v>
      </c>
      <c r="C8" s="342"/>
      <c r="D8" s="319"/>
      <c r="E8" s="314"/>
      <c r="F8" s="319"/>
      <c r="G8" s="320"/>
    </row>
    <row r="9" spans="1:7" s="77" customFormat="1" ht="22.5" customHeight="1">
      <c r="A9" s="348"/>
      <c r="B9" s="1192" t="s">
        <v>910</v>
      </c>
      <c r="C9" s="340"/>
      <c r="D9" s="318">
        <f>D11</f>
        <v>2771000000</v>
      </c>
      <c r="E9" s="578">
        <f>E11</f>
        <v>2771000000</v>
      </c>
      <c r="F9" s="104">
        <f>D9-E9</f>
        <v>0</v>
      </c>
      <c r="G9" s="104"/>
    </row>
    <row r="10" spans="1:7" s="95" customFormat="1" ht="12.75" customHeight="1">
      <c r="A10" s="348"/>
      <c r="B10" s="1192"/>
      <c r="C10" s="339" t="s">
        <v>911</v>
      </c>
      <c r="D10" s="321"/>
      <c r="E10" s="105"/>
      <c r="F10" s="319"/>
      <c r="G10" s="105"/>
    </row>
    <row r="11" spans="1:7" s="77" customFormat="1" ht="22.5" customHeight="1">
      <c r="A11" s="352"/>
      <c r="B11" s="1193"/>
      <c r="C11" s="340" t="s">
        <v>912</v>
      </c>
      <c r="D11" s="318">
        <v>2771000000</v>
      </c>
      <c r="E11" s="318">
        <v>2771000000</v>
      </c>
      <c r="F11" s="104">
        <f>D11-E11</f>
        <v>0</v>
      </c>
      <c r="G11" s="104"/>
    </row>
    <row r="12" spans="1:7" s="95" customFormat="1" ht="14.25" customHeight="1">
      <c r="A12" s="344">
        <v>5300</v>
      </c>
      <c r="B12" s="344"/>
      <c r="C12" s="351"/>
      <c r="D12" s="326"/>
      <c r="E12" s="105"/>
      <c r="F12" s="319"/>
      <c r="G12" s="105"/>
    </row>
    <row r="13" spans="1:7" s="77" customFormat="1" ht="22.5" customHeight="1">
      <c r="A13" s="476" t="s">
        <v>913</v>
      </c>
      <c r="B13" s="477"/>
      <c r="C13" s="349"/>
      <c r="D13" s="104">
        <f>D15+D21</f>
        <v>1328280000</v>
      </c>
      <c r="E13" s="573">
        <f>E15+E21</f>
        <v>1307100000</v>
      </c>
      <c r="F13" s="104">
        <f>D13-E13</f>
        <v>21180000</v>
      </c>
      <c r="G13" s="104"/>
    </row>
    <row r="14" spans="1:7" s="95" customFormat="1" ht="12.75" customHeight="1">
      <c r="A14" s="348"/>
      <c r="B14" s="344">
        <v>5320</v>
      </c>
      <c r="C14" s="353"/>
      <c r="D14" s="330"/>
      <c r="E14" s="314"/>
      <c r="F14" s="319"/>
      <c r="G14" s="314"/>
    </row>
    <row r="15" spans="1:7" s="77" customFormat="1" ht="22.5" customHeight="1">
      <c r="A15" s="358"/>
      <c r="B15" s="476" t="s">
        <v>914</v>
      </c>
      <c r="C15" s="349"/>
      <c r="D15" s="104">
        <f>D17+D19</f>
        <v>130100000</v>
      </c>
      <c r="E15" s="573">
        <f>E17+E19</f>
        <v>130100000</v>
      </c>
      <c r="F15" s="104">
        <f>D15-E15</f>
        <v>0</v>
      </c>
      <c r="G15" s="104"/>
    </row>
    <row r="16" spans="1:7" s="95" customFormat="1" ht="12.75" customHeight="1">
      <c r="A16" s="476"/>
      <c r="B16" s="476" t="s">
        <v>915</v>
      </c>
      <c r="C16" s="351">
        <v>5321</v>
      </c>
      <c r="D16" s="314"/>
      <c r="E16" s="314"/>
      <c r="F16" s="319"/>
      <c r="G16" s="314"/>
    </row>
    <row r="17" spans="1:7" s="77" customFormat="1" ht="22.5" customHeight="1">
      <c r="A17" s="348"/>
      <c r="B17" s="476"/>
      <c r="C17" s="349" t="s">
        <v>916</v>
      </c>
      <c r="D17" s="325">
        <v>100000</v>
      </c>
      <c r="E17" s="325">
        <v>100000</v>
      </c>
      <c r="F17" s="104">
        <f>D17-E17</f>
        <v>0</v>
      </c>
      <c r="G17" s="104"/>
    </row>
    <row r="18" spans="1:7" s="95" customFormat="1" ht="11.25" customHeight="1">
      <c r="A18" s="348"/>
      <c r="B18" s="476"/>
      <c r="C18" s="351">
        <v>5322</v>
      </c>
      <c r="D18" s="324"/>
      <c r="E18" s="324"/>
      <c r="F18" s="319"/>
      <c r="G18" s="314"/>
    </row>
    <row r="19" spans="1:7" s="77" customFormat="1" ht="26.25" customHeight="1">
      <c r="A19" s="348"/>
      <c r="B19" s="477"/>
      <c r="C19" s="349" t="s">
        <v>917</v>
      </c>
      <c r="D19" s="325">
        <v>130000000</v>
      </c>
      <c r="E19" s="325">
        <v>130000000</v>
      </c>
      <c r="F19" s="104">
        <f>D19-E19</f>
        <v>0</v>
      </c>
      <c r="G19" s="104"/>
    </row>
    <row r="20" spans="1:7" s="95" customFormat="1" ht="11.25" customHeight="1">
      <c r="A20" s="348"/>
      <c r="B20" s="344">
        <v>5330</v>
      </c>
      <c r="C20" s="353"/>
      <c r="D20" s="324"/>
      <c r="E20" s="314"/>
      <c r="F20" s="319"/>
      <c r="G20" s="314"/>
    </row>
    <row r="21" spans="1:7" s="77" customFormat="1" ht="24.75" customHeight="1">
      <c r="A21" s="348"/>
      <c r="B21" s="477" t="s">
        <v>918</v>
      </c>
      <c r="C21" s="349"/>
      <c r="D21" s="104">
        <f>+D23</f>
        <v>1198180000</v>
      </c>
      <c r="E21" s="573">
        <f>+E23</f>
        <v>1177000000</v>
      </c>
      <c r="F21" s="104">
        <f>D21-E21</f>
        <v>21180000</v>
      </c>
      <c r="G21" s="104"/>
    </row>
    <row r="22" spans="1:7" s="95" customFormat="1" ht="11.25" customHeight="1">
      <c r="A22" s="348"/>
      <c r="B22" s="348"/>
      <c r="C22" s="351">
        <v>5339</v>
      </c>
      <c r="D22" s="314"/>
      <c r="E22" s="314"/>
      <c r="F22" s="319"/>
      <c r="G22" s="314"/>
    </row>
    <row r="23" spans="1:7" s="77" customFormat="1" ht="24.75" customHeight="1">
      <c r="A23" s="352"/>
      <c r="B23" s="352"/>
      <c r="C23" s="349" t="s">
        <v>919</v>
      </c>
      <c r="D23" s="325">
        <v>1198180000</v>
      </c>
      <c r="E23" s="325">
        <v>1177000000</v>
      </c>
      <c r="F23" s="104">
        <f>D23-E23</f>
        <v>21180000</v>
      </c>
      <c r="G23" s="104"/>
    </row>
    <row r="24" spans="1:7" s="15" customFormat="1" ht="15.75" customHeight="1">
      <c r="A24" s="377">
        <v>5400</v>
      </c>
      <c r="B24" s="488"/>
      <c r="C24" s="385"/>
      <c r="D24" s="513"/>
      <c r="E24" s="328"/>
      <c r="F24" s="514"/>
      <c r="G24" s="328"/>
    </row>
    <row r="25" spans="1:7" ht="14.25">
      <c r="A25" s="509" t="s">
        <v>920</v>
      </c>
      <c r="B25" s="508"/>
      <c r="C25" s="385"/>
      <c r="D25" s="328">
        <f>D27+D31</f>
        <v>100100000</v>
      </c>
      <c r="E25" s="584">
        <f>E27+E31</f>
        <v>100100000</v>
      </c>
      <c r="F25" s="328">
        <f>D25-E25</f>
        <v>0</v>
      </c>
      <c r="G25" s="328"/>
    </row>
    <row r="26" spans="1:7" ht="14.25">
      <c r="A26" s="348"/>
      <c r="B26" s="344">
        <v>5410</v>
      </c>
      <c r="C26" s="353"/>
      <c r="D26" s="314"/>
      <c r="E26" s="314"/>
      <c r="F26" s="319"/>
      <c r="G26" s="314"/>
    </row>
    <row r="27" spans="1:7" ht="14.25">
      <c r="A27" s="348"/>
      <c r="B27" s="476" t="s">
        <v>921</v>
      </c>
      <c r="C27" s="349"/>
      <c r="D27" s="104">
        <f>D29</f>
        <v>80100000</v>
      </c>
      <c r="E27" s="104">
        <f>E29</f>
        <v>80100000</v>
      </c>
      <c r="F27" s="104">
        <f>D27-E27</f>
        <v>0</v>
      </c>
      <c r="G27" s="104"/>
    </row>
    <row r="28" spans="1:7" ht="14.25">
      <c r="A28" s="348"/>
      <c r="B28" s="348"/>
      <c r="C28" s="351">
        <v>5411</v>
      </c>
      <c r="D28" s="314"/>
      <c r="E28" s="314"/>
      <c r="F28" s="319"/>
      <c r="G28" s="314"/>
    </row>
    <row r="29" spans="1:7" ht="14.25">
      <c r="A29" s="348"/>
      <c r="B29" s="352"/>
      <c r="C29" s="349" t="s">
        <v>922</v>
      </c>
      <c r="D29" s="325">
        <v>80100000</v>
      </c>
      <c r="E29" s="325">
        <v>80100000</v>
      </c>
      <c r="F29" s="104">
        <f>D29-E29</f>
        <v>0</v>
      </c>
      <c r="G29" s="104"/>
    </row>
    <row r="30" spans="1:7" ht="14.25">
      <c r="A30" s="348"/>
      <c r="B30" s="344">
        <v>5420</v>
      </c>
      <c r="C30" s="351"/>
      <c r="D30" s="326"/>
      <c r="E30" s="105"/>
      <c r="F30" s="319"/>
      <c r="G30" s="105"/>
    </row>
    <row r="31" spans="1:7" ht="14.25">
      <c r="A31" s="348"/>
      <c r="B31" s="476" t="s">
        <v>923</v>
      </c>
      <c r="C31" s="349"/>
      <c r="D31" s="104">
        <f>D33</f>
        <v>20000000</v>
      </c>
      <c r="E31" s="573">
        <f>E33</f>
        <v>20000000</v>
      </c>
      <c r="F31" s="104">
        <f>D31-E31</f>
        <v>0</v>
      </c>
      <c r="G31" s="104"/>
    </row>
    <row r="32" spans="1:7" ht="14.25">
      <c r="A32" s="348"/>
      <c r="B32" s="348"/>
      <c r="C32" s="351">
        <v>5421</v>
      </c>
      <c r="D32" s="314"/>
      <c r="E32" s="314"/>
      <c r="F32" s="319"/>
      <c r="G32" s="314"/>
    </row>
    <row r="33" spans="1:7" ht="14.25">
      <c r="A33" s="352"/>
      <c r="B33" s="352"/>
      <c r="C33" s="349" t="s">
        <v>924</v>
      </c>
      <c r="D33" s="325">
        <v>20000000</v>
      </c>
      <c r="E33" s="325">
        <v>20000000</v>
      </c>
      <c r="F33" s="104">
        <f>D33-E33</f>
        <v>0</v>
      </c>
      <c r="G33" s="104"/>
    </row>
    <row r="34" spans="1:7" ht="14.25">
      <c r="A34" s="351">
        <v>1200</v>
      </c>
      <c r="B34" s="478"/>
      <c r="C34" s="353"/>
      <c r="D34" s="324"/>
      <c r="E34" s="314"/>
      <c r="F34" s="319"/>
      <c r="G34" s="314"/>
    </row>
    <row r="35" spans="1:7" ht="14.25">
      <c r="A35" s="476" t="s">
        <v>925</v>
      </c>
      <c r="B35" s="477"/>
      <c r="C35" s="349"/>
      <c r="D35" s="104">
        <f>D37</f>
        <v>1600200000</v>
      </c>
      <c r="E35" s="573">
        <f>E37</f>
        <v>8000000</v>
      </c>
      <c r="F35" s="104">
        <f>D35-E35</f>
        <v>1592200000</v>
      </c>
      <c r="G35" s="104"/>
    </row>
    <row r="36" spans="1:7" ht="14.25">
      <c r="A36" s="476" t="s">
        <v>926</v>
      </c>
      <c r="B36" s="344">
        <v>1240</v>
      </c>
      <c r="C36" s="353"/>
      <c r="D36" s="314"/>
      <c r="E36" s="314"/>
      <c r="F36" s="319"/>
      <c r="G36" s="331"/>
    </row>
    <row r="37" spans="1:7" ht="14.25">
      <c r="A37" s="348"/>
      <c r="B37" s="476" t="s">
        <v>927</v>
      </c>
      <c r="C37" s="349"/>
      <c r="D37" s="325">
        <f>SUM(D38:D41)</f>
        <v>1600200000</v>
      </c>
      <c r="E37" s="582">
        <f>SUM(E38:E41)</f>
        <v>8000000</v>
      </c>
      <c r="F37" s="104">
        <f>D37-E37</f>
        <v>1592200000</v>
      </c>
      <c r="G37" s="104"/>
    </row>
    <row r="38" spans="1:7" ht="14.25">
      <c r="A38" s="348"/>
      <c r="B38" s="348"/>
      <c r="C38" s="351">
        <v>1242</v>
      </c>
      <c r="D38" s="105"/>
      <c r="E38" s="105"/>
      <c r="F38" s="319"/>
      <c r="G38" s="105"/>
    </row>
    <row r="39" spans="1:7" ht="14.25">
      <c r="A39" s="348"/>
      <c r="B39" s="348"/>
      <c r="C39" s="349" t="s">
        <v>928</v>
      </c>
      <c r="D39" s="104">
        <v>8000000</v>
      </c>
      <c r="E39" s="104">
        <v>8000000</v>
      </c>
      <c r="F39" s="104">
        <f>D39-E39</f>
        <v>0</v>
      </c>
      <c r="G39" s="104"/>
    </row>
    <row r="40" spans="1:7" ht="14.25">
      <c r="A40" s="591"/>
      <c r="B40" s="591"/>
      <c r="C40" s="594">
        <v>1266</v>
      </c>
      <c r="D40" s="577"/>
      <c r="E40" s="577"/>
      <c r="F40" s="577"/>
      <c r="G40" s="577"/>
    </row>
    <row r="41" spans="1:7" ht="14.25">
      <c r="A41" s="591"/>
      <c r="B41" s="591"/>
      <c r="C41" s="592" t="s">
        <v>1439</v>
      </c>
      <c r="D41" s="573">
        <v>1592200000</v>
      </c>
      <c r="E41" s="573">
        <v>0</v>
      </c>
      <c r="F41" s="573"/>
      <c r="G41" s="573"/>
    </row>
    <row r="42" spans="1:7" ht="14.25">
      <c r="A42" s="478" t="s">
        <v>929</v>
      </c>
      <c r="B42" s="361"/>
      <c r="C42" s="362"/>
      <c r="D42" s="332">
        <f>D44</f>
        <v>1877600000</v>
      </c>
      <c r="E42" s="332">
        <f>E44</f>
        <v>1559076000</v>
      </c>
      <c r="F42" s="104">
        <f>D42-E42</f>
        <v>318524000</v>
      </c>
      <c r="G42" s="332"/>
    </row>
    <row r="43" spans="1:7" ht="14.25">
      <c r="A43" s="476" t="s">
        <v>930</v>
      </c>
      <c r="B43" s="344">
        <v>1100</v>
      </c>
      <c r="C43" s="363"/>
      <c r="D43" s="331"/>
      <c r="E43" s="331"/>
      <c r="F43" s="319"/>
      <c r="G43" s="331"/>
    </row>
    <row r="44" spans="1:7" ht="14.25">
      <c r="A44" s="348"/>
      <c r="B44" s="1079" t="s">
        <v>931</v>
      </c>
      <c r="C44" s="364"/>
      <c r="D44" s="104">
        <f>D46</f>
        <v>1877600000</v>
      </c>
      <c r="E44" s="104">
        <f>E46</f>
        <v>1559076000</v>
      </c>
      <c r="F44" s="104">
        <f>D44-E44</f>
        <v>318524000</v>
      </c>
      <c r="G44" s="104"/>
    </row>
    <row r="45" spans="1:7" ht="14.25">
      <c r="A45" s="348"/>
      <c r="B45" s="1079"/>
      <c r="C45" s="351">
        <v>1100</v>
      </c>
      <c r="D45" s="314"/>
      <c r="E45" s="314"/>
      <c r="F45" s="319"/>
      <c r="G45" s="314"/>
    </row>
    <row r="46" spans="1:7" ht="14.25">
      <c r="A46" s="348"/>
      <c r="B46" s="352"/>
      <c r="C46" s="349" t="s">
        <v>931</v>
      </c>
      <c r="D46" s="104">
        <v>1877600000</v>
      </c>
      <c r="E46" s="104">
        <v>1559076000</v>
      </c>
      <c r="F46" s="104">
        <f>D46-E46</f>
        <v>318524000</v>
      </c>
      <c r="G46" s="104"/>
    </row>
    <row r="47" spans="1:7" ht="24" customHeight="1">
      <c r="A47" s="1076" t="s">
        <v>932</v>
      </c>
      <c r="B47" s="1076"/>
      <c r="C47" s="1076"/>
      <c r="D47" s="333">
        <f>D7+D13+D25+D35+D42</f>
        <v>7677180000</v>
      </c>
      <c r="E47" s="333">
        <f>E7+E13+E25+E35+E42</f>
        <v>5745276000</v>
      </c>
      <c r="F47" s="333">
        <f>D47-E47</f>
        <v>1931904000</v>
      </c>
      <c r="G47" s="333"/>
    </row>
  </sheetData>
  <mergeCells count="8">
    <mergeCell ref="B44:B45"/>
    <mergeCell ref="A47:C47"/>
    <mergeCell ref="A1:G1"/>
    <mergeCell ref="A2:G2"/>
    <mergeCell ref="A3:G3"/>
    <mergeCell ref="A4:C4"/>
    <mergeCell ref="G4:G5"/>
    <mergeCell ref="B9:B11"/>
  </mergeCells>
  <printOptions/>
  <pageMargins left="0.4724409448818898" right="0.7086614173228347" top="0.6692913385826772" bottom="0.7480314960629921" header="0.31496062992125984" footer="0.31496062992125984"/>
  <pageSetup horizontalDpi="600" verticalDpi="600" orientation="landscape" paperSize="9" r:id="rId2"/>
  <headerFooter>
    <oddHeader>&amp;L&amp;"새굴림,보통"&amp;9&lt;별지제2호서식&gt;</oddHeader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 topLeftCell="A1">
      <selection activeCell="E24" sqref="E24"/>
    </sheetView>
  </sheetViews>
  <sheetFormatPr defaultColWidth="9.25390625" defaultRowHeight="27" customHeight="1"/>
  <cols>
    <col min="1" max="1" width="13.625" style="69" customWidth="1"/>
    <col min="2" max="2" width="13.625" style="10" customWidth="1"/>
    <col min="3" max="3" width="20.50390625" style="10" customWidth="1"/>
    <col min="4" max="4" width="19.50390625" style="10" customWidth="1"/>
    <col min="5" max="5" width="19.375" style="10" customWidth="1"/>
    <col min="6" max="6" width="17.875" style="10" customWidth="1"/>
    <col min="7" max="7" width="20.125" style="10" customWidth="1"/>
    <col min="8" max="16384" width="9.25390625" style="10" customWidth="1"/>
  </cols>
  <sheetData>
    <row r="1" spans="1:7" s="9" customFormat="1" ht="34.5" customHeight="1">
      <c r="A1" s="993" t="s">
        <v>774</v>
      </c>
      <c r="B1" s="994"/>
      <c r="C1" s="994"/>
      <c r="D1" s="994"/>
      <c r="E1" s="994"/>
      <c r="F1" s="994"/>
      <c r="G1" s="994"/>
    </row>
    <row r="2" spans="1:7" s="9" customFormat="1" ht="20.25" customHeight="1">
      <c r="A2" s="995" t="s">
        <v>942</v>
      </c>
      <c r="B2" s="995"/>
      <c r="C2" s="995"/>
      <c r="D2" s="995"/>
      <c r="E2" s="995"/>
      <c r="F2" s="995"/>
      <c r="G2" s="995"/>
    </row>
    <row r="3" spans="1:7" ht="42" customHeight="1">
      <c r="A3" s="1080" t="s">
        <v>1171</v>
      </c>
      <c r="B3" s="1081"/>
      <c r="C3" s="1081"/>
      <c r="D3" s="1081"/>
      <c r="E3" s="1081"/>
      <c r="F3" s="1081"/>
      <c r="G3" s="1082"/>
    </row>
    <row r="4" spans="1:7" s="1" customFormat="1" ht="24" customHeight="1">
      <c r="A4" s="999" t="s">
        <v>1172</v>
      </c>
      <c r="B4" s="1000"/>
      <c r="C4" s="1001"/>
      <c r="D4" s="572" t="s">
        <v>1173</v>
      </c>
      <c r="E4" s="572" t="s">
        <v>1173</v>
      </c>
      <c r="F4" s="572" t="s">
        <v>1174</v>
      </c>
      <c r="G4" s="992" t="s">
        <v>1175</v>
      </c>
    </row>
    <row r="5" spans="1:7" s="2" customFormat="1" ht="21.75" customHeight="1">
      <c r="A5" s="675" t="s">
        <v>1176</v>
      </c>
      <c r="B5" s="675" t="s">
        <v>1177</v>
      </c>
      <c r="C5" s="675" t="s">
        <v>1178</v>
      </c>
      <c r="D5" s="623" t="s">
        <v>1179</v>
      </c>
      <c r="E5" s="623" t="s">
        <v>1180</v>
      </c>
      <c r="F5" s="623" t="s">
        <v>1181</v>
      </c>
      <c r="G5" s="992"/>
    </row>
    <row r="6" spans="1:7" s="15" customFormat="1" ht="15.95" customHeight="1">
      <c r="A6" s="334">
        <v>4100</v>
      </c>
      <c r="B6" s="335"/>
      <c r="C6" s="335"/>
      <c r="D6" s="335"/>
      <c r="E6" s="335"/>
      <c r="F6" s="17"/>
      <c r="G6" s="27"/>
    </row>
    <row r="7" spans="1:7" s="15" customFormat="1" ht="15.95" customHeight="1">
      <c r="A7" s="1079" t="s">
        <v>94</v>
      </c>
      <c r="B7" s="477"/>
      <c r="C7" s="367"/>
      <c r="D7" s="104">
        <f>D9+D21</f>
        <v>2307700000</v>
      </c>
      <c r="E7" s="573">
        <f>E9+E21</f>
        <v>2398000000</v>
      </c>
      <c r="F7" s="14">
        <f>D7-E7</f>
        <v>-90300000</v>
      </c>
      <c r="G7" s="76" t="s">
        <v>301</v>
      </c>
    </row>
    <row r="8" spans="1:7" s="15" customFormat="1" ht="15.95" customHeight="1">
      <c r="A8" s="1079"/>
      <c r="B8" s="344">
        <v>4110</v>
      </c>
      <c r="C8" s="369"/>
      <c r="D8" s="314"/>
      <c r="E8" s="314"/>
      <c r="F8" s="17"/>
      <c r="G8" s="18"/>
    </row>
    <row r="9" spans="1:9" s="15" customFormat="1" ht="15.95" customHeight="1">
      <c r="A9" s="1079"/>
      <c r="B9" s="1079" t="s">
        <v>394</v>
      </c>
      <c r="C9" s="370"/>
      <c r="D9" s="104">
        <f>SUM(D11+D13+D15+D17+D19)</f>
        <v>1696800000</v>
      </c>
      <c r="E9" s="573">
        <f>SUM(E11+E13+E15+E17+E19)</f>
        <v>1694500000</v>
      </c>
      <c r="F9" s="14">
        <f aca="true" t="shared" si="0" ref="F9:F71">D9-E9</f>
        <v>2300000</v>
      </c>
      <c r="G9" s="19"/>
      <c r="I9" s="28"/>
    </row>
    <row r="10" spans="1:7" s="15" customFormat="1" ht="15.95" customHeight="1">
      <c r="A10" s="1079"/>
      <c r="B10" s="1079"/>
      <c r="C10" s="350">
        <v>4111</v>
      </c>
      <c r="D10" s="323"/>
      <c r="E10" s="323"/>
      <c r="F10" s="17"/>
      <c r="G10" s="18"/>
    </row>
    <row r="11" spans="1:7" s="15" customFormat="1" ht="15.95" customHeight="1">
      <c r="A11" s="1079"/>
      <c r="B11" s="1079"/>
      <c r="C11" s="349" t="s">
        <v>127</v>
      </c>
      <c r="D11" s="104">
        <v>72000000</v>
      </c>
      <c r="E11" s="104">
        <v>72000000</v>
      </c>
      <c r="F11" s="14">
        <f t="shared" si="0"/>
        <v>0</v>
      </c>
      <c r="G11" s="19"/>
    </row>
    <row r="12" spans="1:7" s="15" customFormat="1" ht="15.95" customHeight="1">
      <c r="A12" s="1079"/>
      <c r="B12" s="1079"/>
      <c r="C12" s="351">
        <v>4113</v>
      </c>
      <c r="D12" s="314"/>
      <c r="E12" s="314"/>
      <c r="F12" s="17"/>
      <c r="G12" s="27"/>
    </row>
    <row r="13" spans="1:7" s="15" customFormat="1" ht="15.95" customHeight="1">
      <c r="A13" s="1079"/>
      <c r="B13" s="1079"/>
      <c r="C13" s="349" t="s">
        <v>395</v>
      </c>
      <c r="D13" s="104">
        <v>32500000</v>
      </c>
      <c r="E13" s="104">
        <v>32500000</v>
      </c>
      <c r="F13" s="14">
        <f t="shared" si="0"/>
        <v>0</v>
      </c>
      <c r="G13" s="19"/>
    </row>
    <row r="14" spans="1:7" s="15" customFormat="1" ht="15.95" customHeight="1">
      <c r="A14" s="1079"/>
      <c r="B14" s="1079"/>
      <c r="C14" s="351">
        <v>4114</v>
      </c>
      <c r="D14" s="314"/>
      <c r="E14" s="314"/>
      <c r="F14" s="17"/>
      <c r="G14" s="18"/>
    </row>
    <row r="15" spans="1:9" s="15" customFormat="1" ht="15.95" customHeight="1">
      <c r="A15" s="1079"/>
      <c r="B15" s="1079"/>
      <c r="C15" s="349" t="s">
        <v>31</v>
      </c>
      <c r="D15" s="104">
        <v>91500000</v>
      </c>
      <c r="E15" s="104">
        <v>91500000</v>
      </c>
      <c r="F15" s="14">
        <f t="shared" si="0"/>
        <v>0</v>
      </c>
      <c r="G15" s="19"/>
      <c r="I15" s="28"/>
    </row>
    <row r="16" spans="1:7" s="15" customFormat="1" ht="15.95" customHeight="1">
      <c r="A16" s="1079"/>
      <c r="B16" s="1079"/>
      <c r="C16" s="351">
        <v>4115</v>
      </c>
      <c r="D16" s="314"/>
      <c r="E16" s="314"/>
      <c r="F16" s="17"/>
      <c r="G16" s="18"/>
    </row>
    <row r="17" spans="1:7" s="15" customFormat="1" ht="15.95" customHeight="1">
      <c r="A17" s="1079"/>
      <c r="B17" s="1079"/>
      <c r="C17" s="349" t="s">
        <v>32</v>
      </c>
      <c r="D17" s="104">
        <v>1433800000</v>
      </c>
      <c r="E17" s="104">
        <v>1432500000</v>
      </c>
      <c r="F17" s="14">
        <f t="shared" si="0"/>
        <v>1300000</v>
      </c>
      <c r="G17" s="19"/>
    </row>
    <row r="18" spans="1:7" s="15" customFormat="1" ht="15.95" customHeight="1">
      <c r="A18" s="476"/>
      <c r="B18" s="360"/>
      <c r="C18" s="350">
        <v>4117</v>
      </c>
      <c r="D18" s="372"/>
      <c r="E18" s="372"/>
      <c r="F18" s="17"/>
      <c r="G18" s="67"/>
    </row>
    <row r="19" spans="1:7" s="15" customFormat="1" ht="15.95" customHeight="1">
      <c r="A19" s="486"/>
      <c r="B19" s="477"/>
      <c r="C19" s="349" t="s">
        <v>128</v>
      </c>
      <c r="D19" s="104">
        <v>67000000</v>
      </c>
      <c r="E19" s="104">
        <v>66000000</v>
      </c>
      <c r="F19" s="14">
        <f t="shared" si="0"/>
        <v>1000000</v>
      </c>
      <c r="G19" s="183"/>
    </row>
    <row r="20" spans="1:7" s="15" customFormat="1" ht="15.95" customHeight="1">
      <c r="A20" s="486"/>
      <c r="B20" s="344">
        <v>4120</v>
      </c>
      <c r="C20" s="353"/>
      <c r="D20" s="314"/>
      <c r="E20" s="314"/>
      <c r="F20" s="17"/>
      <c r="G20" s="36"/>
    </row>
    <row r="21" spans="1:7" s="15" customFormat="1" ht="15.95" customHeight="1">
      <c r="A21" s="476"/>
      <c r="B21" s="476" t="s">
        <v>33</v>
      </c>
      <c r="C21" s="349"/>
      <c r="D21" s="104">
        <f>SUM(D23:D31)</f>
        <v>610900000</v>
      </c>
      <c r="E21" s="573">
        <f>SUM(E23:E31)</f>
        <v>703500000</v>
      </c>
      <c r="F21" s="14">
        <f t="shared" si="0"/>
        <v>-92600000</v>
      </c>
      <c r="G21" s="19"/>
    </row>
    <row r="22" spans="1:7" s="15" customFormat="1" ht="15.95" customHeight="1">
      <c r="A22" s="476"/>
      <c r="B22" s="476"/>
      <c r="C22" s="351">
        <v>4121</v>
      </c>
      <c r="D22" s="314"/>
      <c r="E22" s="314"/>
      <c r="F22" s="17"/>
      <c r="G22" s="18"/>
    </row>
    <row r="23" spans="1:7" s="15" customFormat="1" ht="15.95" customHeight="1">
      <c r="A23" s="476"/>
      <c r="B23" s="476"/>
      <c r="C23" s="349" t="s">
        <v>302</v>
      </c>
      <c r="D23" s="104">
        <v>200000000</v>
      </c>
      <c r="E23" s="104">
        <v>250000000</v>
      </c>
      <c r="F23" s="14">
        <f t="shared" si="0"/>
        <v>-50000000</v>
      </c>
      <c r="G23" s="19"/>
    </row>
    <row r="24" spans="1:7" ht="15.95" customHeight="1">
      <c r="A24" s="476"/>
      <c r="B24" s="476"/>
      <c r="C24" s="351">
        <v>4122</v>
      </c>
      <c r="D24" s="314"/>
      <c r="E24" s="314"/>
      <c r="F24" s="17"/>
      <c r="G24" s="499"/>
    </row>
    <row r="25" spans="1:7" ht="15.95" customHeight="1">
      <c r="A25" s="476"/>
      <c r="B25" s="476"/>
      <c r="C25" s="349" t="s">
        <v>303</v>
      </c>
      <c r="D25" s="104">
        <v>205000000</v>
      </c>
      <c r="E25" s="104">
        <v>260000000</v>
      </c>
      <c r="F25" s="14">
        <f t="shared" si="0"/>
        <v>-55000000</v>
      </c>
      <c r="G25" s="498"/>
    </row>
    <row r="26" spans="1:7" ht="15.95" customHeight="1">
      <c r="A26" s="697"/>
      <c r="B26" s="697"/>
      <c r="C26" s="357">
        <v>4123</v>
      </c>
      <c r="D26" s="584"/>
      <c r="E26" s="584"/>
      <c r="F26" s="836"/>
      <c r="G26" s="840"/>
    </row>
    <row r="27" spans="1:7" ht="15.95" customHeight="1">
      <c r="A27" s="698"/>
      <c r="B27" s="698"/>
      <c r="C27" s="349" t="s">
        <v>36</v>
      </c>
      <c r="D27" s="104">
        <v>49900000</v>
      </c>
      <c r="E27" s="104">
        <v>57500000</v>
      </c>
      <c r="F27" s="14">
        <f t="shared" si="0"/>
        <v>-7600000</v>
      </c>
      <c r="G27" s="498"/>
    </row>
    <row r="28" spans="1:7" ht="15.95" customHeight="1">
      <c r="A28" s="696"/>
      <c r="B28" s="696"/>
      <c r="C28" s="351">
        <v>4124</v>
      </c>
      <c r="D28" s="314"/>
      <c r="E28" s="314"/>
      <c r="F28" s="17"/>
      <c r="G28" s="499"/>
    </row>
    <row r="29" spans="1:7" ht="15.95" customHeight="1">
      <c r="A29" s="486"/>
      <c r="B29" s="486"/>
      <c r="C29" s="349" t="s">
        <v>304</v>
      </c>
      <c r="D29" s="104">
        <v>56000000</v>
      </c>
      <c r="E29" s="104">
        <v>56000000</v>
      </c>
      <c r="F29" s="14">
        <f t="shared" si="0"/>
        <v>0</v>
      </c>
      <c r="G29" s="498"/>
    </row>
    <row r="30" spans="1:7" ht="15.95" customHeight="1">
      <c r="A30" s="486"/>
      <c r="B30" s="486"/>
      <c r="C30" s="351">
        <v>4125</v>
      </c>
      <c r="D30" s="314"/>
      <c r="E30" s="314"/>
      <c r="F30" s="17"/>
      <c r="G30" s="499"/>
    </row>
    <row r="31" spans="1:7" ht="15.95" customHeight="1">
      <c r="A31" s="477"/>
      <c r="B31" s="477"/>
      <c r="C31" s="349" t="s">
        <v>183</v>
      </c>
      <c r="D31" s="104">
        <v>100000000</v>
      </c>
      <c r="E31" s="104">
        <v>80000000</v>
      </c>
      <c r="F31" s="14">
        <f t="shared" si="0"/>
        <v>20000000</v>
      </c>
      <c r="G31" s="498"/>
    </row>
    <row r="32" spans="1:7" ht="15.95" customHeight="1">
      <c r="A32" s="344">
        <v>4200</v>
      </c>
      <c r="B32" s="478"/>
      <c r="C32" s="353"/>
      <c r="D32" s="314"/>
      <c r="E32" s="314"/>
      <c r="F32" s="17"/>
      <c r="G32" s="499"/>
    </row>
    <row r="33" spans="1:7" ht="15.95" customHeight="1">
      <c r="A33" s="476" t="s">
        <v>39</v>
      </c>
      <c r="B33" s="477"/>
      <c r="C33" s="349"/>
      <c r="D33" s="104">
        <f>SUM(D35+D45+D63)</f>
        <v>1357620000</v>
      </c>
      <c r="E33" s="573">
        <f>SUM(E35+E45+E63)</f>
        <v>1426400000</v>
      </c>
      <c r="F33" s="14">
        <f t="shared" si="0"/>
        <v>-68780000</v>
      </c>
      <c r="G33" s="498"/>
    </row>
    <row r="34" spans="1:7" ht="15.95" customHeight="1">
      <c r="A34" s="476"/>
      <c r="B34" s="344">
        <v>4210</v>
      </c>
      <c r="C34" s="355"/>
      <c r="D34" s="323"/>
      <c r="E34" s="323"/>
      <c r="F34" s="17"/>
      <c r="G34" s="499"/>
    </row>
    <row r="35" spans="1:7" ht="15.95" customHeight="1">
      <c r="A35" s="476"/>
      <c r="B35" s="476" t="s">
        <v>45</v>
      </c>
      <c r="C35" s="349"/>
      <c r="D35" s="104">
        <f>SUM(D37:D43)</f>
        <v>243000000</v>
      </c>
      <c r="E35" s="573">
        <f>SUM(E37:E43)</f>
        <v>343000000</v>
      </c>
      <c r="F35" s="14">
        <f t="shared" si="0"/>
        <v>-100000000</v>
      </c>
      <c r="G35" s="498"/>
    </row>
    <row r="36" spans="1:7" ht="15.95" customHeight="1">
      <c r="A36" s="360"/>
      <c r="B36" s="348"/>
      <c r="C36" s="351">
        <v>4211</v>
      </c>
      <c r="D36" s="105"/>
      <c r="E36" s="105"/>
      <c r="F36" s="17"/>
      <c r="G36" s="499"/>
    </row>
    <row r="37" spans="1:7" ht="15.95" customHeight="1">
      <c r="A37" s="348"/>
      <c r="B37" s="348"/>
      <c r="C37" s="349" t="s">
        <v>40</v>
      </c>
      <c r="D37" s="104">
        <v>90000000</v>
      </c>
      <c r="E37" s="104">
        <v>190000000</v>
      </c>
      <c r="F37" s="14">
        <f t="shared" si="0"/>
        <v>-100000000</v>
      </c>
      <c r="G37" s="498"/>
    </row>
    <row r="38" spans="1:7" ht="15.95" customHeight="1">
      <c r="A38" s="360"/>
      <c r="B38" s="348"/>
      <c r="C38" s="351">
        <v>4212</v>
      </c>
      <c r="D38" s="105"/>
      <c r="E38" s="105"/>
      <c r="F38" s="17"/>
      <c r="G38" s="499"/>
    </row>
    <row r="39" spans="1:7" ht="15.95" customHeight="1">
      <c r="A39" s="348"/>
      <c r="B39" s="348"/>
      <c r="C39" s="349" t="s">
        <v>41</v>
      </c>
      <c r="D39" s="104">
        <v>27500000</v>
      </c>
      <c r="E39" s="104">
        <v>27500000</v>
      </c>
      <c r="F39" s="14">
        <f t="shared" si="0"/>
        <v>0</v>
      </c>
      <c r="G39" s="498"/>
    </row>
    <row r="40" spans="1:7" ht="15.95" customHeight="1">
      <c r="A40" s="360"/>
      <c r="B40" s="348"/>
      <c r="C40" s="351">
        <v>4215</v>
      </c>
      <c r="D40" s="105"/>
      <c r="E40" s="105"/>
      <c r="F40" s="17"/>
      <c r="G40" s="499"/>
    </row>
    <row r="41" spans="1:7" ht="15.95" customHeight="1">
      <c r="A41" s="348"/>
      <c r="B41" s="348"/>
      <c r="C41" s="349" t="s">
        <v>43</v>
      </c>
      <c r="D41" s="104">
        <v>124000000</v>
      </c>
      <c r="E41" s="104">
        <v>124000000</v>
      </c>
      <c r="F41" s="14">
        <f t="shared" si="0"/>
        <v>0</v>
      </c>
      <c r="G41" s="498"/>
    </row>
    <row r="42" spans="1:7" ht="15.95" customHeight="1">
      <c r="A42" s="360"/>
      <c r="B42" s="1194"/>
      <c r="C42" s="351">
        <v>4219</v>
      </c>
      <c r="D42" s="105"/>
      <c r="E42" s="105"/>
      <c r="F42" s="17"/>
      <c r="G42" s="499"/>
    </row>
    <row r="43" spans="1:7" ht="15.95" customHeight="1">
      <c r="A43" s="348"/>
      <c r="B43" s="1086"/>
      <c r="C43" s="349" t="s">
        <v>316</v>
      </c>
      <c r="D43" s="104">
        <v>1500000</v>
      </c>
      <c r="E43" s="104">
        <v>1500000</v>
      </c>
      <c r="F43" s="14">
        <f t="shared" si="0"/>
        <v>0</v>
      </c>
      <c r="G43" s="498"/>
    </row>
    <row r="44" spans="1:7" ht="15.95" customHeight="1">
      <c r="A44" s="360"/>
      <c r="B44" s="344">
        <v>4220</v>
      </c>
      <c r="C44" s="350"/>
      <c r="D44" s="376"/>
      <c r="E44" s="376"/>
      <c r="F44" s="17"/>
      <c r="G44" s="499"/>
    </row>
    <row r="45" spans="1:7" ht="15.95" customHeight="1">
      <c r="A45" s="348"/>
      <c r="B45" s="476" t="s">
        <v>305</v>
      </c>
      <c r="C45" s="349"/>
      <c r="D45" s="104">
        <f>SUM(D47:D61)</f>
        <v>291400000</v>
      </c>
      <c r="E45" s="104">
        <f aca="true" t="shared" si="1" ref="E45">SUM(E47:E61)</f>
        <v>299300000</v>
      </c>
      <c r="F45" s="14">
        <f t="shared" si="0"/>
        <v>-7900000</v>
      </c>
      <c r="G45" s="498"/>
    </row>
    <row r="46" spans="1:7" ht="15.95" customHeight="1">
      <c r="A46" s="360"/>
      <c r="B46" s="360"/>
      <c r="C46" s="351">
        <v>4221</v>
      </c>
      <c r="D46" s="105"/>
      <c r="E46" s="105"/>
      <c r="F46" s="17"/>
      <c r="G46" s="499"/>
    </row>
    <row r="47" spans="1:7" ht="15.95" customHeight="1">
      <c r="A47" s="348"/>
      <c r="B47" s="348"/>
      <c r="C47" s="349" t="s">
        <v>46</v>
      </c>
      <c r="D47" s="104">
        <v>57000000</v>
      </c>
      <c r="E47" s="104">
        <v>65000000</v>
      </c>
      <c r="F47" s="14">
        <f t="shared" si="0"/>
        <v>-8000000</v>
      </c>
      <c r="G47" s="496"/>
    </row>
    <row r="48" spans="1:7" ht="15.95" customHeight="1">
      <c r="A48" s="360"/>
      <c r="B48" s="360"/>
      <c r="C48" s="351">
        <v>4223</v>
      </c>
      <c r="D48" s="105"/>
      <c r="E48" s="105"/>
      <c r="F48" s="17"/>
      <c r="G48" s="499"/>
    </row>
    <row r="49" spans="1:7" ht="15.95" customHeight="1">
      <c r="A49" s="348"/>
      <c r="B49" s="348"/>
      <c r="C49" s="349" t="s">
        <v>48</v>
      </c>
      <c r="D49" s="104">
        <v>36800000</v>
      </c>
      <c r="E49" s="104">
        <v>37300000</v>
      </c>
      <c r="F49" s="14">
        <f t="shared" si="0"/>
        <v>-500000</v>
      </c>
      <c r="G49" s="498"/>
    </row>
    <row r="50" spans="1:7" ht="15.95" customHeight="1">
      <c r="A50" s="360"/>
      <c r="B50" s="360"/>
      <c r="C50" s="351">
        <v>4224</v>
      </c>
      <c r="D50" s="105"/>
      <c r="E50" s="105"/>
      <c r="F50" s="17"/>
      <c r="G50" s="499"/>
    </row>
    <row r="51" spans="1:7" ht="15.95" customHeight="1">
      <c r="A51" s="348"/>
      <c r="B51" s="348"/>
      <c r="C51" s="349" t="s">
        <v>83</v>
      </c>
      <c r="D51" s="104">
        <v>18000000</v>
      </c>
      <c r="E51" s="104">
        <v>18000000</v>
      </c>
      <c r="F51" s="14">
        <f t="shared" si="0"/>
        <v>0</v>
      </c>
      <c r="G51" s="498"/>
    </row>
    <row r="52" spans="1:7" ht="15.95" customHeight="1">
      <c r="A52" s="360"/>
      <c r="B52" s="360"/>
      <c r="C52" s="351">
        <v>4225</v>
      </c>
      <c r="D52" s="105"/>
      <c r="E52" s="105"/>
      <c r="F52" s="17"/>
      <c r="G52" s="499"/>
    </row>
    <row r="53" spans="1:7" ht="15.95" customHeight="1">
      <c r="A53" s="352"/>
      <c r="B53" s="352"/>
      <c r="C53" s="349" t="s">
        <v>84</v>
      </c>
      <c r="D53" s="104">
        <v>32000000</v>
      </c>
      <c r="E53" s="104">
        <v>70000000</v>
      </c>
      <c r="F53" s="14">
        <f t="shared" si="0"/>
        <v>-38000000</v>
      </c>
      <c r="G53" s="498"/>
    </row>
    <row r="54" spans="1:7" ht="15.95" customHeight="1">
      <c r="A54" s="360"/>
      <c r="B54" s="360"/>
      <c r="C54" s="351">
        <v>4226</v>
      </c>
      <c r="D54" s="105"/>
      <c r="E54" s="105"/>
      <c r="F54" s="17"/>
      <c r="G54" s="499"/>
    </row>
    <row r="55" spans="1:7" ht="15.95" customHeight="1">
      <c r="A55" s="591"/>
      <c r="B55" s="591"/>
      <c r="C55" s="349" t="s">
        <v>85</v>
      </c>
      <c r="D55" s="104">
        <v>87000000</v>
      </c>
      <c r="E55" s="104">
        <v>49000000</v>
      </c>
      <c r="F55" s="14">
        <f t="shared" si="0"/>
        <v>38000000</v>
      </c>
      <c r="G55" s="498"/>
    </row>
    <row r="56" spans="1:7" ht="15.95" customHeight="1">
      <c r="A56" s="360"/>
      <c r="B56" s="360"/>
      <c r="C56" s="350">
        <v>4227</v>
      </c>
      <c r="D56" s="376"/>
      <c r="E56" s="376"/>
      <c r="F56" s="119"/>
      <c r="G56" s="496"/>
    </row>
    <row r="57" spans="1:7" ht="15.95" customHeight="1">
      <c r="A57" s="348"/>
      <c r="B57" s="348"/>
      <c r="C57" s="349" t="s">
        <v>49</v>
      </c>
      <c r="D57" s="104">
        <v>12100000</v>
      </c>
      <c r="E57" s="104">
        <v>11500000</v>
      </c>
      <c r="F57" s="14">
        <f t="shared" si="0"/>
        <v>600000</v>
      </c>
      <c r="G57" s="498"/>
    </row>
    <row r="58" spans="1:7" ht="15.95" customHeight="1">
      <c r="A58" s="360"/>
      <c r="B58" s="360"/>
      <c r="C58" s="351">
        <v>4228</v>
      </c>
      <c r="D58" s="105"/>
      <c r="E58" s="105"/>
      <c r="F58" s="17"/>
      <c r="G58" s="499"/>
    </row>
    <row r="59" spans="1:7" ht="15.95" customHeight="1">
      <c r="A59" s="348"/>
      <c r="B59" s="348"/>
      <c r="C59" s="349" t="s">
        <v>306</v>
      </c>
      <c r="D59" s="104">
        <v>1500000</v>
      </c>
      <c r="E59" s="104">
        <v>1500000</v>
      </c>
      <c r="F59" s="14">
        <f t="shared" si="0"/>
        <v>0</v>
      </c>
      <c r="G59" s="498"/>
    </row>
    <row r="60" spans="1:7" ht="15.95" customHeight="1">
      <c r="A60" s="360"/>
      <c r="B60" s="360"/>
      <c r="C60" s="351">
        <v>4229</v>
      </c>
      <c r="D60" s="105"/>
      <c r="E60" s="105"/>
      <c r="F60" s="17"/>
      <c r="G60" s="499"/>
    </row>
    <row r="61" spans="1:7" ht="15.95" customHeight="1">
      <c r="A61" s="348"/>
      <c r="B61" s="352"/>
      <c r="C61" s="349" t="s">
        <v>86</v>
      </c>
      <c r="D61" s="104">
        <v>47000000</v>
      </c>
      <c r="E61" s="104">
        <v>47000000</v>
      </c>
      <c r="F61" s="14">
        <f t="shared" si="0"/>
        <v>0</v>
      </c>
      <c r="G61" s="498"/>
    </row>
    <row r="62" spans="1:7" ht="15.95" customHeight="1">
      <c r="A62" s="360"/>
      <c r="B62" s="344">
        <v>4230</v>
      </c>
      <c r="C62" s="350"/>
      <c r="D62" s="376"/>
      <c r="E62" s="376"/>
      <c r="F62" s="17"/>
      <c r="G62" s="499"/>
    </row>
    <row r="63" spans="1:7" ht="15.95" customHeight="1">
      <c r="A63" s="348"/>
      <c r="B63" s="1083" t="s">
        <v>389</v>
      </c>
      <c r="C63" s="349"/>
      <c r="D63" s="104">
        <f>SUM(D65:D73)</f>
        <v>823220000</v>
      </c>
      <c r="E63" s="573">
        <f>SUM(E65:E73)</f>
        <v>784100000</v>
      </c>
      <c r="F63" s="14">
        <f t="shared" si="0"/>
        <v>39120000</v>
      </c>
      <c r="G63" s="498"/>
    </row>
    <row r="64" spans="1:7" ht="15.95" customHeight="1">
      <c r="A64" s="360"/>
      <c r="B64" s="1084"/>
      <c r="C64" s="351">
        <v>4231</v>
      </c>
      <c r="D64" s="105"/>
      <c r="E64" s="105"/>
      <c r="F64" s="17"/>
      <c r="G64" s="499"/>
    </row>
    <row r="65" spans="1:7" ht="15.95" customHeight="1">
      <c r="A65" s="348"/>
      <c r="B65" s="1085"/>
      <c r="C65" s="349" t="s">
        <v>51</v>
      </c>
      <c r="D65" s="104">
        <v>16300000</v>
      </c>
      <c r="E65" s="104">
        <v>20000000</v>
      </c>
      <c r="F65" s="14">
        <f t="shared" si="0"/>
        <v>-3700000</v>
      </c>
      <c r="G65" s="498"/>
    </row>
    <row r="66" spans="1:7" ht="15.95" customHeight="1">
      <c r="A66" s="348"/>
      <c r="B66" s="348"/>
      <c r="C66" s="351">
        <v>4234</v>
      </c>
      <c r="D66" s="105"/>
      <c r="E66" s="105"/>
      <c r="F66" s="17"/>
      <c r="G66" s="496"/>
    </row>
    <row r="67" spans="1:7" ht="15.95" customHeight="1">
      <c r="A67" s="348"/>
      <c r="B67" s="348"/>
      <c r="C67" s="349" t="s">
        <v>87</v>
      </c>
      <c r="D67" s="104">
        <v>41200000</v>
      </c>
      <c r="E67" s="104">
        <v>41200000</v>
      </c>
      <c r="F67" s="14">
        <f t="shared" si="0"/>
        <v>0</v>
      </c>
      <c r="G67" s="498"/>
    </row>
    <row r="68" spans="1:7" ht="15.95" customHeight="1">
      <c r="A68" s="348"/>
      <c r="B68" s="348"/>
      <c r="C68" s="351">
        <v>4235</v>
      </c>
      <c r="D68" s="105"/>
      <c r="E68" s="105"/>
      <c r="F68" s="17"/>
      <c r="G68" s="499"/>
    </row>
    <row r="69" spans="1:7" ht="15.95" customHeight="1">
      <c r="A69" s="348"/>
      <c r="B69" s="348"/>
      <c r="C69" s="349" t="s">
        <v>53</v>
      </c>
      <c r="D69" s="104">
        <v>147000000</v>
      </c>
      <c r="E69" s="104">
        <v>141000000</v>
      </c>
      <c r="F69" s="14">
        <f t="shared" si="0"/>
        <v>6000000</v>
      </c>
      <c r="G69" s="498"/>
    </row>
    <row r="70" spans="1:7" ht="15.95" customHeight="1">
      <c r="A70" s="348"/>
      <c r="B70" s="348"/>
      <c r="C70" s="351">
        <v>4236</v>
      </c>
      <c r="D70" s="105"/>
      <c r="E70" s="105"/>
      <c r="F70" s="17"/>
      <c r="G70" s="499"/>
    </row>
    <row r="71" spans="1:7" ht="15.95" customHeight="1">
      <c r="A71" s="348"/>
      <c r="B71" s="348"/>
      <c r="C71" s="349" t="s">
        <v>54</v>
      </c>
      <c r="D71" s="104">
        <v>14000000</v>
      </c>
      <c r="E71" s="104">
        <v>12000000</v>
      </c>
      <c r="F71" s="14">
        <f t="shared" si="0"/>
        <v>2000000</v>
      </c>
      <c r="G71" s="498"/>
    </row>
    <row r="72" spans="1:7" ht="15.95" customHeight="1">
      <c r="A72" s="348"/>
      <c r="B72" s="348"/>
      <c r="C72" s="351">
        <v>4239</v>
      </c>
      <c r="D72" s="105"/>
      <c r="E72" s="105"/>
      <c r="F72" s="17"/>
      <c r="G72" s="499"/>
    </row>
    <row r="73" spans="1:7" ht="15.95" customHeight="1">
      <c r="A73" s="352"/>
      <c r="B73" s="352"/>
      <c r="C73" s="349" t="s">
        <v>391</v>
      </c>
      <c r="D73" s="104">
        <v>604720000</v>
      </c>
      <c r="E73" s="104">
        <v>569900000</v>
      </c>
      <c r="F73" s="14">
        <f aca="true" t="shared" si="2" ref="F73:F121">D73-E73</f>
        <v>34820000</v>
      </c>
      <c r="G73" s="498"/>
    </row>
    <row r="74" spans="1:7" ht="15.95" customHeight="1">
      <c r="A74" s="344">
        <v>4300</v>
      </c>
      <c r="B74" s="344"/>
      <c r="C74" s="351"/>
      <c r="D74" s="105"/>
      <c r="E74" s="105"/>
      <c r="F74" s="17"/>
      <c r="G74" s="499"/>
    </row>
    <row r="75" spans="1:7" ht="15.95" customHeight="1">
      <c r="A75" s="519" t="s">
        <v>58</v>
      </c>
      <c r="B75" s="477"/>
      <c r="C75" s="349"/>
      <c r="D75" s="104">
        <f>SUM(D77+D81)</f>
        <v>417000000</v>
      </c>
      <c r="E75" s="573">
        <f>SUM(E77+E81)</f>
        <v>417000000</v>
      </c>
      <c r="F75" s="14">
        <f t="shared" si="2"/>
        <v>0</v>
      </c>
      <c r="G75" s="498"/>
    </row>
    <row r="76" spans="1:7" ht="15.95" customHeight="1">
      <c r="A76" s="348"/>
      <c r="B76" s="344">
        <v>4310</v>
      </c>
      <c r="C76" s="351"/>
      <c r="D76" s="105"/>
      <c r="E76" s="105"/>
      <c r="F76" s="17"/>
      <c r="G76" s="499"/>
    </row>
    <row r="77" spans="1:7" ht="15.95" customHeight="1">
      <c r="A77" s="348"/>
      <c r="B77" s="1083" t="s">
        <v>59</v>
      </c>
      <c r="C77" s="349"/>
      <c r="D77" s="104">
        <f>D79</f>
        <v>235000000</v>
      </c>
      <c r="E77" s="573">
        <f>E79</f>
        <v>235000000</v>
      </c>
      <c r="F77" s="14">
        <f t="shared" si="2"/>
        <v>0</v>
      </c>
      <c r="G77" s="498"/>
    </row>
    <row r="78" spans="1:7" ht="15.95" customHeight="1">
      <c r="A78" s="348"/>
      <c r="B78" s="1084"/>
      <c r="C78" s="351">
        <v>4311</v>
      </c>
      <c r="D78" s="105"/>
      <c r="E78" s="105"/>
      <c r="F78" s="17"/>
      <c r="G78" s="499"/>
    </row>
    <row r="79" spans="1:7" ht="15.95" customHeight="1">
      <c r="A79" s="348"/>
      <c r="B79" s="1084"/>
      <c r="C79" s="349" t="s">
        <v>59</v>
      </c>
      <c r="D79" s="104">
        <v>235000000</v>
      </c>
      <c r="E79" s="104">
        <v>235000000</v>
      </c>
      <c r="F79" s="14">
        <f t="shared" si="2"/>
        <v>0</v>
      </c>
      <c r="G79" s="498"/>
    </row>
    <row r="80" spans="1:7" ht="15.95" customHeight="1">
      <c r="A80" s="352"/>
      <c r="B80" s="377">
        <v>4320</v>
      </c>
      <c r="C80" s="357"/>
      <c r="D80" s="599"/>
      <c r="E80" s="599"/>
      <c r="F80" s="836"/>
      <c r="G80" s="840"/>
    </row>
    <row r="81" spans="1:7" ht="15.95" customHeight="1">
      <c r="A81" s="601"/>
      <c r="B81" s="698" t="s">
        <v>60</v>
      </c>
      <c r="C81" s="349"/>
      <c r="D81" s="104">
        <f>SUM(D82:D85)</f>
        <v>182000000</v>
      </c>
      <c r="E81" s="573">
        <f>SUM(E82:E85)</f>
        <v>182000000</v>
      </c>
      <c r="F81" s="14">
        <f t="shared" si="2"/>
        <v>0</v>
      </c>
      <c r="G81" s="498"/>
    </row>
    <row r="82" spans="1:7" ht="15.95" customHeight="1">
      <c r="A82" s="348"/>
      <c r="B82" s="348"/>
      <c r="C82" s="350">
        <v>4325</v>
      </c>
      <c r="D82" s="376"/>
      <c r="E82" s="376"/>
      <c r="F82" s="119"/>
      <c r="G82" s="496"/>
    </row>
    <row r="83" spans="1:7" ht="15.95" customHeight="1">
      <c r="A83" s="348"/>
      <c r="B83" s="348"/>
      <c r="C83" s="349" t="s">
        <v>193</v>
      </c>
      <c r="D83" s="104">
        <v>175000000</v>
      </c>
      <c r="E83" s="104">
        <v>175000000</v>
      </c>
      <c r="F83" s="14">
        <f t="shared" si="2"/>
        <v>0</v>
      </c>
      <c r="G83" s="498"/>
    </row>
    <row r="84" spans="1:7" ht="15.95" customHeight="1">
      <c r="A84" s="360"/>
      <c r="B84" s="360"/>
      <c r="C84" s="351">
        <v>4329</v>
      </c>
      <c r="D84" s="105"/>
      <c r="E84" s="105"/>
      <c r="F84" s="17"/>
      <c r="G84" s="499"/>
    </row>
    <row r="85" spans="1:7" ht="15.95" customHeight="1">
      <c r="A85" s="348"/>
      <c r="B85" s="352"/>
      <c r="C85" s="349" t="s">
        <v>63</v>
      </c>
      <c r="D85" s="104">
        <v>7000000</v>
      </c>
      <c r="E85" s="104">
        <v>7000000</v>
      </c>
      <c r="F85" s="14">
        <f t="shared" si="2"/>
        <v>0</v>
      </c>
      <c r="G85" s="498"/>
    </row>
    <row r="86" spans="1:7" ht="15.95" customHeight="1">
      <c r="A86" s="344">
        <v>4400</v>
      </c>
      <c r="B86" s="344"/>
      <c r="C86" s="351"/>
      <c r="D86" s="383"/>
      <c r="E86" s="105"/>
      <c r="F86" s="17"/>
      <c r="G86" s="499"/>
    </row>
    <row r="87" spans="1:7" ht="15.95" customHeight="1">
      <c r="A87" s="519" t="s">
        <v>935</v>
      </c>
      <c r="B87" s="487"/>
      <c r="C87" s="349"/>
      <c r="D87" s="329">
        <f>SUM(D89)</f>
        <v>4800000</v>
      </c>
      <c r="E87" s="585">
        <f>SUM(E89)</f>
        <v>3100000</v>
      </c>
      <c r="F87" s="14">
        <f t="shared" si="2"/>
        <v>1700000</v>
      </c>
      <c r="G87" s="498"/>
    </row>
    <row r="88" spans="1:7" ht="15.95" customHeight="1">
      <c r="A88" s="348"/>
      <c r="B88" s="344">
        <v>4420</v>
      </c>
      <c r="C88" s="351"/>
      <c r="D88" s="383"/>
      <c r="E88" s="105"/>
      <c r="F88" s="17"/>
      <c r="G88" s="499"/>
    </row>
    <row r="89" spans="1:7" ht="15.95" customHeight="1">
      <c r="A89" s="348"/>
      <c r="B89" s="1083" t="s">
        <v>66</v>
      </c>
      <c r="C89" s="349"/>
      <c r="D89" s="104">
        <f>SUM(D91:D91)</f>
        <v>4800000</v>
      </c>
      <c r="E89" s="573">
        <f>SUM(E91:E91)</f>
        <v>3100000</v>
      </c>
      <c r="F89" s="14">
        <f t="shared" si="2"/>
        <v>1700000</v>
      </c>
      <c r="G89" s="498"/>
    </row>
    <row r="90" spans="1:7" ht="15.95" customHeight="1">
      <c r="A90" s="348"/>
      <c r="B90" s="1084"/>
      <c r="C90" s="351">
        <v>4421</v>
      </c>
      <c r="D90" s="105"/>
      <c r="E90" s="105"/>
      <c r="F90" s="17"/>
      <c r="G90" s="499"/>
    </row>
    <row r="91" spans="1:7" ht="15.95" customHeight="1">
      <c r="A91" s="352"/>
      <c r="B91" s="1084"/>
      <c r="C91" s="349" t="s">
        <v>67</v>
      </c>
      <c r="D91" s="104">
        <v>4800000</v>
      </c>
      <c r="E91" s="104">
        <v>3100000</v>
      </c>
      <c r="F91" s="14">
        <f t="shared" si="2"/>
        <v>1700000</v>
      </c>
      <c r="G91" s="498"/>
    </row>
    <row r="92" spans="1:7" ht="15.95" customHeight="1">
      <c r="A92" s="344">
        <v>4500</v>
      </c>
      <c r="B92" s="344"/>
      <c r="C92" s="351"/>
      <c r="D92" s="383"/>
      <c r="E92" s="105"/>
      <c r="F92" s="17"/>
      <c r="G92" s="499"/>
    </row>
    <row r="93" spans="1:7" ht="15.95" customHeight="1">
      <c r="A93" s="1079" t="s">
        <v>68</v>
      </c>
      <c r="B93" s="477"/>
      <c r="C93" s="349"/>
      <c r="D93" s="329">
        <f>D95</f>
        <v>1955700000</v>
      </c>
      <c r="E93" s="585">
        <f>E95</f>
        <v>400000000</v>
      </c>
      <c r="F93" s="14">
        <f t="shared" si="2"/>
        <v>1555700000</v>
      </c>
      <c r="G93" s="498"/>
    </row>
    <row r="94" spans="1:7" ht="15.95" customHeight="1">
      <c r="A94" s="1079"/>
      <c r="B94" s="344">
        <v>4510</v>
      </c>
      <c r="C94" s="351"/>
      <c r="D94" s="383"/>
      <c r="E94" s="383"/>
      <c r="F94" s="17"/>
      <c r="G94" s="499"/>
    </row>
    <row r="95" spans="1:7" ht="15.95" customHeight="1">
      <c r="A95" s="1079"/>
      <c r="B95" s="1083" t="s">
        <v>69</v>
      </c>
      <c r="C95" s="349"/>
      <c r="D95" s="329">
        <f>D97</f>
        <v>1955700000</v>
      </c>
      <c r="E95" s="585">
        <f>E97</f>
        <v>400000000</v>
      </c>
      <c r="F95" s="14">
        <f t="shared" si="2"/>
        <v>1555700000</v>
      </c>
      <c r="G95" s="498"/>
    </row>
    <row r="96" spans="1:7" ht="15.95" customHeight="1">
      <c r="A96" s="1079"/>
      <c r="B96" s="1083"/>
      <c r="C96" s="350">
        <v>4516</v>
      </c>
      <c r="D96" s="372"/>
      <c r="E96" s="372"/>
      <c r="F96" s="17"/>
      <c r="G96" s="499"/>
    </row>
    <row r="97" spans="1:7" ht="15.95" customHeight="1">
      <c r="A97" s="1079"/>
      <c r="B97" s="1083"/>
      <c r="C97" s="355" t="s">
        <v>934</v>
      </c>
      <c r="D97" s="372">
        <v>1955700000</v>
      </c>
      <c r="E97" s="372">
        <v>400000000</v>
      </c>
      <c r="F97" s="14">
        <f t="shared" si="2"/>
        <v>1555700000</v>
      </c>
      <c r="G97" s="498"/>
    </row>
    <row r="98" spans="1:7" ht="15.95" customHeight="1">
      <c r="A98" s="344">
        <v>4600</v>
      </c>
      <c r="B98" s="344"/>
      <c r="C98" s="351"/>
      <c r="D98" s="383"/>
      <c r="E98" s="105"/>
      <c r="F98" s="17"/>
      <c r="G98" s="499"/>
    </row>
    <row r="99" spans="1:7" ht="15.95" customHeight="1">
      <c r="A99" s="1079" t="s">
        <v>70</v>
      </c>
      <c r="B99" s="477"/>
      <c r="C99" s="349"/>
      <c r="D99" s="329">
        <f>D101</f>
        <v>1322360000</v>
      </c>
      <c r="E99" s="329">
        <f aca="true" t="shared" si="3" ref="E99">E101</f>
        <v>939226000</v>
      </c>
      <c r="F99" s="14">
        <f t="shared" si="2"/>
        <v>383134000</v>
      </c>
      <c r="G99" s="498"/>
    </row>
    <row r="100" spans="1:7" ht="15.95" customHeight="1">
      <c r="A100" s="1079"/>
      <c r="B100" s="344">
        <v>4610</v>
      </c>
      <c r="C100" s="351"/>
      <c r="D100" s="383"/>
      <c r="E100" s="383"/>
      <c r="F100" s="17"/>
      <c r="G100" s="499"/>
    </row>
    <row r="101" spans="1:7" ht="15.95" customHeight="1">
      <c r="A101" s="348"/>
      <c r="B101" s="476" t="s">
        <v>91</v>
      </c>
      <c r="C101" s="349"/>
      <c r="D101" s="104">
        <f aca="true" t="shared" si="4" ref="D101:E101">D103</f>
        <v>1322360000</v>
      </c>
      <c r="E101" s="573">
        <f t="shared" si="4"/>
        <v>939226000</v>
      </c>
      <c r="F101" s="14">
        <f t="shared" si="2"/>
        <v>383134000</v>
      </c>
      <c r="G101" s="498"/>
    </row>
    <row r="102" spans="1:7" ht="15.95" customHeight="1">
      <c r="A102" s="360"/>
      <c r="B102" s="360"/>
      <c r="C102" s="351">
        <v>4611</v>
      </c>
      <c r="D102" s="105"/>
      <c r="E102" s="105"/>
      <c r="F102" s="17"/>
      <c r="G102" s="499"/>
    </row>
    <row r="103" spans="1:7" ht="15.95" customHeight="1">
      <c r="A103" s="352"/>
      <c r="B103" s="352"/>
      <c r="C103" s="349" t="s">
        <v>91</v>
      </c>
      <c r="D103" s="329">
        <v>1322360000</v>
      </c>
      <c r="E103" s="329">
        <v>939226000</v>
      </c>
      <c r="F103" s="14">
        <f t="shared" si="2"/>
        <v>383134000</v>
      </c>
      <c r="G103" s="498"/>
    </row>
    <row r="104" spans="1:7" ht="15.95" customHeight="1">
      <c r="A104" s="344">
        <v>1200</v>
      </c>
      <c r="B104" s="382"/>
      <c r="C104" s="353"/>
      <c r="D104" s="330"/>
      <c r="E104" s="314"/>
      <c r="F104" s="17"/>
      <c r="G104" s="499"/>
    </row>
    <row r="105" spans="1:7" ht="15.95" customHeight="1">
      <c r="A105" s="476" t="s">
        <v>736</v>
      </c>
      <c r="B105" s="352"/>
      <c r="C105" s="349"/>
      <c r="D105" s="329">
        <f>D107+D111</f>
        <v>50000000</v>
      </c>
      <c r="E105" s="585">
        <f>E107+E111</f>
        <v>50000000</v>
      </c>
      <c r="F105" s="14">
        <f t="shared" si="2"/>
        <v>0</v>
      </c>
      <c r="G105" s="498"/>
    </row>
    <row r="106" spans="1:7" ht="15.95" customHeight="1">
      <c r="A106" s="348"/>
      <c r="B106" s="360">
        <v>1240</v>
      </c>
      <c r="C106" s="355"/>
      <c r="D106" s="372"/>
      <c r="E106" s="323"/>
      <c r="F106" s="17"/>
      <c r="G106" s="499"/>
    </row>
    <row r="107" spans="1:7" ht="15.95" customHeight="1">
      <c r="A107" s="352"/>
      <c r="B107" s="697" t="s">
        <v>104</v>
      </c>
      <c r="C107" s="592"/>
      <c r="D107" s="585">
        <f>D109</f>
        <v>10000000</v>
      </c>
      <c r="E107" s="585">
        <f>E109</f>
        <v>10000000</v>
      </c>
      <c r="F107" s="14">
        <f t="shared" si="2"/>
        <v>0</v>
      </c>
      <c r="G107" s="498"/>
    </row>
    <row r="108" spans="1:7" ht="15.95" customHeight="1">
      <c r="A108" s="348"/>
      <c r="B108" s="348"/>
      <c r="C108" s="593">
        <v>1242</v>
      </c>
      <c r="D108" s="598"/>
      <c r="E108" s="580"/>
      <c r="F108" s="794"/>
      <c r="G108" s="496"/>
    </row>
    <row r="109" spans="1:7" ht="15.95" customHeight="1">
      <c r="A109" s="591"/>
      <c r="B109" s="352"/>
      <c r="C109" s="349" t="s">
        <v>740</v>
      </c>
      <c r="D109" s="329">
        <v>10000000</v>
      </c>
      <c r="E109" s="329">
        <v>10000000</v>
      </c>
      <c r="F109" s="14">
        <f t="shared" si="2"/>
        <v>0</v>
      </c>
      <c r="G109" s="498"/>
    </row>
    <row r="110" spans="1:7" ht="15.95" customHeight="1">
      <c r="A110" s="348"/>
      <c r="B110" s="360">
        <v>1260</v>
      </c>
      <c r="C110" s="355"/>
      <c r="D110" s="372"/>
      <c r="E110" s="372"/>
      <c r="F110" s="119"/>
      <c r="G110" s="496"/>
    </row>
    <row r="111" spans="1:7" ht="15.95" customHeight="1">
      <c r="A111" s="348"/>
      <c r="B111" s="476" t="s">
        <v>320</v>
      </c>
      <c r="C111" s="355"/>
      <c r="D111" s="372">
        <f>D113</f>
        <v>40000000</v>
      </c>
      <c r="E111" s="598">
        <f>E113</f>
        <v>40000000</v>
      </c>
      <c r="F111" s="14">
        <f t="shared" si="2"/>
        <v>0</v>
      </c>
      <c r="G111" s="498"/>
    </row>
    <row r="112" spans="1:7" ht="15.95" customHeight="1">
      <c r="A112" s="348"/>
      <c r="B112" s="348"/>
      <c r="C112" s="351">
        <v>1266</v>
      </c>
      <c r="D112" s="330"/>
      <c r="E112" s="330"/>
      <c r="F112" s="17"/>
      <c r="G112" s="499"/>
    </row>
    <row r="113" spans="1:7" ht="15.95" customHeight="1">
      <c r="A113" s="348"/>
      <c r="B113" s="348"/>
      <c r="C113" s="349" t="s">
        <v>757</v>
      </c>
      <c r="D113" s="329">
        <v>40000000</v>
      </c>
      <c r="E113" s="329">
        <v>40000000</v>
      </c>
      <c r="F113" s="14">
        <f t="shared" si="2"/>
        <v>0</v>
      </c>
      <c r="G113" s="498"/>
    </row>
    <row r="114" spans="1:7" ht="15.95" customHeight="1">
      <c r="A114" s="344">
        <v>1300</v>
      </c>
      <c r="B114" s="344"/>
      <c r="C114" s="351"/>
      <c r="D114" s="326"/>
      <c r="E114" s="105"/>
      <c r="F114" s="17"/>
      <c r="G114" s="499"/>
    </row>
    <row r="115" spans="1:7" ht="15.95" customHeight="1">
      <c r="A115" s="476" t="s">
        <v>744</v>
      </c>
      <c r="B115" s="477"/>
      <c r="C115" s="349"/>
      <c r="D115" s="104">
        <f>SUM(D117)</f>
        <v>262000000</v>
      </c>
      <c r="E115" s="573">
        <f>SUM(E117)</f>
        <v>111550000</v>
      </c>
      <c r="F115" s="14">
        <f t="shared" si="2"/>
        <v>150450000</v>
      </c>
      <c r="G115" s="498"/>
    </row>
    <row r="116" spans="1:7" ht="15.95" customHeight="1">
      <c r="A116" s="476" t="s">
        <v>742</v>
      </c>
      <c r="B116" s="360">
        <v>1310</v>
      </c>
      <c r="C116" s="351"/>
      <c r="D116" s="105"/>
      <c r="E116" s="105"/>
      <c r="F116" s="17"/>
      <c r="G116" s="499"/>
    </row>
    <row r="117" spans="1:7" ht="15.95" customHeight="1">
      <c r="A117" s="476"/>
      <c r="B117" s="476" t="s">
        <v>743</v>
      </c>
      <c r="C117" s="349"/>
      <c r="D117" s="104">
        <f>SUM(D118:D121)</f>
        <v>262000000</v>
      </c>
      <c r="E117" s="573">
        <f>SUM(E118:E121)</f>
        <v>111550000</v>
      </c>
      <c r="F117" s="14">
        <f t="shared" si="2"/>
        <v>150450000</v>
      </c>
      <c r="G117" s="498"/>
    </row>
    <row r="118" spans="1:7" ht="15.95" customHeight="1">
      <c r="A118" s="360"/>
      <c r="B118" s="360"/>
      <c r="C118" s="351">
        <v>1314</v>
      </c>
      <c r="D118" s="105"/>
      <c r="E118" s="105"/>
      <c r="F118" s="17"/>
      <c r="G118" s="499"/>
    </row>
    <row r="119" spans="1:7" ht="15.95" customHeight="1">
      <c r="A119" s="348"/>
      <c r="B119" s="348"/>
      <c r="C119" s="349" t="s">
        <v>72</v>
      </c>
      <c r="D119" s="104">
        <v>154000000</v>
      </c>
      <c r="E119" s="104">
        <v>63550000</v>
      </c>
      <c r="F119" s="14">
        <f t="shared" si="2"/>
        <v>90450000</v>
      </c>
      <c r="G119" s="498"/>
    </row>
    <row r="120" spans="1:7" ht="15.95" customHeight="1">
      <c r="A120" s="360"/>
      <c r="B120" s="360"/>
      <c r="C120" s="351">
        <v>1315</v>
      </c>
      <c r="D120" s="105"/>
      <c r="E120" s="105"/>
      <c r="F120" s="17"/>
      <c r="G120" s="499"/>
    </row>
    <row r="121" spans="1:7" ht="15.95" customHeight="1">
      <c r="A121" s="348"/>
      <c r="B121" s="348"/>
      <c r="C121" s="349" t="s">
        <v>392</v>
      </c>
      <c r="D121" s="104">
        <v>108000000</v>
      </c>
      <c r="E121" s="104">
        <v>48000000</v>
      </c>
      <c r="F121" s="14">
        <f t="shared" si="2"/>
        <v>60000000</v>
      </c>
      <c r="G121" s="498"/>
    </row>
    <row r="122" spans="1:7" ht="25.5" customHeight="1">
      <c r="A122" s="1076" t="s">
        <v>11</v>
      </c>
      <c r="B122" s="1076"/>
      <c r="C122" s="1076"/>
      <c r="D122" s="333">
        <f>D7+D33+D75+D87+D93+D99+D105+D115</f>
        <v>7677180000</v>
      </c>
      <c r="E122" s="333">
        <f>E7+E33+E75+E87+E93+E99+E105+E115</f>
        <v>5745276000</v>
      </c>
      <c r="F122" s="333">
        <f>F7+F33+F75+F87+F93+F99+F105+F115</f>
        <v>1931904000</v>
      </c>
      <c r="G122" s="497"/>
    </row>
  </sheetData>
  <mergeCells count="15">
    <mergeCell ref="A1:G1"/>
    <mergeCell ref="A2:G2"/>
    <mergeCell ref="A3:G3"/>
    <mergeCell ref="A4:C4"/>
    <mergeCell ref="G4:G5"/>
    <mergeCell ref="A122:C122"/>
    <mergeCell ref="B89:B91"/>
    <mergeCell ref="A93:A97"/>
    <mergeCell ref="B95:B97"/>
    <mergeCell ref="A99:A100"/>
    <mergeCell ref="B42:B43"/>
    <mergeCell ref="B63:B65"/>
    <mergeCell ref="B77:B79"/>
    <mergeCell ref="A7:A17"/>
    <mergeCell ref="B9:B17"/>
  </mergeCells>
  <printOptions/>
  <pageMargins left="0.5905511811023623" right="0.5118110236220472" top="0.7480314960629921" bottom="0.5118110236220472" header="0.31496062992125984" footer="0.31496062992125984"/>
  <pageSetup horizontalDpi="600" verticalDpi="600" orientation="landscape" paperSize="9" r:id="rId2"/>
  <headerFooter>
    <oddHeader>&amp;L&amp;"새굴림,보통"&amp;9&lt;별지제2호서식&gt;</oddHeader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8"/>
  <sheetViews>
    <sheetView workbookViewId="0" topLeftCell="A1">
      <selection activeCell="R34" sqref="R34"/>
    </sheetView>
  </sheetViews>
  <sheetFormatPr defaultColWidth="9.00390625" defaultRowHeight="14.25"/>
  <cols>
    <col min="1" max="16384" width="9.00390625" style="70" customWidth="1"/>
  </cols>
  <sheetData>
    <row r="10" spans="1:91" ht="51" customHeight="1">
      <c r="A10" s="990" t="s">
        <v>291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  <row r="12" ht="49.5" customHeight="1"/>
    <row r="18" spans="1:91" ht="51" customHeight="1">
      <c r="A18" s="1037" t="s">
        <v>936</v>
      </c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</row>
  </sheetData>
  <mergeCells count="2">
    <mergeCell ref="A10:M10"/>
    <mergeCell ref="A18:M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I36" sqref="I36"/>
    </sheetView>
  </sheetViews>
  <sheetFormatPr defaultColWidth="9.00390625" defaultRowHeight="15" customHeight="1"/>
  <cols>
    <col min="1" max="1" width="10.00390625" style="70" customWidth="1"/>
    <col min="2" max="2" width="11.75390625" style="70" customWidth="1"/>
    <col min="3" max="3" width="14.125" style="70" customWidth="1"/>
    <col min="4" max="4" width="16.375" style="70" customWidth="1"/>
    <col min="5" max="5" width="15.75390625" style="70" customWidth="1"/>
    <col min="6" max="6" width="17.875" style="70" customWidth="1"/>
    <col min="7" max="7" width="18.50390625" style="70" customWidth="1"/>
    <col min="8" max="8" width="15.375" style="70" customWidth="1"/>
    <col min="9" max="16384" width="9.00390625" style="70" customWidth="1"/>
  </cols>
  <sheetData>
    <row r="1" spans="1:8" ht="20.25">
      <c r="A1" s="1180" t="s">
        <v>1440</v>
      </c>
      <c r="B1" s="1180"/>
      <c r="C1" s="1180"/>
      <c r="D1" s="1180"/>
      <c r="E1" s="1180"/>
      <c r="F1" s="1180"/>
      <c r="G1" s="1180"/>
      <c r="H1" s="1180"/>
    </row>
    <row r="2" spans="1:8" ht="15" customHeight="1">
      <c r="A2" s="704"/>
      <c r="B2" s="704"/>
      <c r="C2" s="704"/>
      <c r="D2" s="704"/>
      <c r="E2" s="704"/>
      <c r="F2" s="703"/>
      <c r="G2" s="703"/>
      <c r="H2" s="705" t="s">
        <v>1441</v>
      </c>
    </row>
    <row r="3" spans="1:8" ht="15" customHeight="1" thickBot="1">
      <c r="A3" s="706" t="s">
        <v>334</v>
      </c>
      <c r="B3" s="716" t="s">
        <v>1442</v>
      </c>
      <c r="C3" s="1181" t="s">
        <v>1443</v>
      </c>
      <c r="D3" s="1181"/>
      <c r="E3" s="716" t="s">
        <v>1444</v>
      </c>
      <c r="F3" s="716" t="s">
        <v>1445</v>
      </c>
      <c r="G3" s="716" t="s">
        <v>1446</v>
      </c>
      <c r="H3" s="707" t="s">
        <v>1447</v>
      </c>
    </row>
    <row r="4" spans="1:8" ht="15" customHeight="1" thickTop="1">
      <c r="A4" s="1171" t="s">
        <v>1448</v>
      </c>
      <c r="B4" s="1196"/>
      <c r="C4" s="715" t="s">
        <v>1449</v>
      </c>
      <c r="D4" s="715"/>
      <c r="E4" s="715">
        <v>2</v>
      </c>
      <c r="F4" s="713">
        <v>72000000</v>
      </c>
      <c r="G4" s="713">
        <v>36000000</v>
      </c>
      <c r="H4" s="709"/>
    </row>
    <row r="5" spans="1:8" ht="15" customHeight="1">
      <c r="A5" s="1172"/>
      <c r="B5" s="1197"/>
      <c r="C5" s="715" t="s">
        <v>1450</v>
      </c>
      <c r="D5" s="715" t="s">
        <v>1451</v>
      </c>
      <c r="E5" s="715"/>
      <c r="F5" s="713"/>
      <c r="G5" s="713"/>
      <c r="H5" s="709"/>
    </row>
    <row r="6" spans="1:8" ht="15" customHeight="1">
      <c r="A6" s="1172"/>
      <c r="B6" s="1197"/>
      <c r="C6" s="715"/>
      <c r="D6" s="715" t="s">
        <v>1452</v>
      </c>
      <c r="E6" s="715"/>
      <c r="F6" s="713"/>
      <c r="G6" s="713"/>
      <c r="H6" s="709"/>
    </row>
    <row r="7" spans="1:8" ht="15" customHeight="1">
      <c r="A7" s="1172"/>
      <c r="B7" s="1197"/>
      <c r="C7" s="715"/>
      <c r="D7" s="715" t="s">
        <v>1453</v>
      </c>
      <c r="E7" s="715"/>
      <c r="F7" s="713"/>
      <c r="G7" s="713"/>
      <c r="H7" s="709"/>
    </row>
    <row r="8" spans="1:8" ht="15" customHeight="1">
      <c r="A8" s="1172"/>
      <c r="B8" s="1197"/>
      <c r="C8" s="715"/>
      <c r="D8" s="715" t="s">
        <v>1454</v>
      </c>
      <c r="E8" s="715"/>
      <c r="F8" s="713"/>
      <c r="G8" s="713"/>
      <c r="H8" s="709"/>
    </row>
    <row r="9" spans="1:8" ht="15" customHeight="1">
      <c r="A9" s="1172"/>
      <c r="B9" s="1197"/>
      <c r="C9" s="715"/>
      <c r="D9" s="715" t="s">
        <v>1455</v>
      </c>
      <c r="E9" s="715"/>
      <c r="F9" s="713"/>
      <c r="G9" s="713"/>
      <c r="H9" s="709"/>
    </row>
    <row r="10" spans="1:8" ht="15" customHeight="1">
      <c r="A10" s="1172"/>
      <c r="B10" s="1197"/>
      <c r="C10" s="715" t="s">
        <v>1456</v>
      </c>
      <c r="D10" s="715" t="s">
        <v>1457</v>
      </c>
      <c r="E10" s="715">
        <v>7</v>
      </c>
      <c r="F10" s="713">
        <v>32500000</v>
      </c>
      <c r="G10" s="713">
        <v>4642857</v>
      </c>
      <c r="H10" s="709"/>
    </row>
    <row r="11" spans="1:8" ht="15" customHeight="1">
      <c r="A11" s="1172"/>
      <c r="B11" s="1197"/>
      <c r="C11" s="1167" t="s">
        <v>1458</v>
      </c>
      <c r="D11" s="1166"/>
      <c r="E11" s="715">
        <v>2</v>
      </c>
      <c r="F11" s="713">
        <v>15500000</v>
      </c>
      <c r="G11" s="713">
        <v>7750000</v>
      </c>
      <c r="H11" s="709"/>
    </row>
    <row r="12" spans="1:8" ht="15" customHeight="1">
      <c r="A12" s="1172"/>
      <c r="B12" s="1197"/>
      <c r="C12" s="1167" t="s">
        <v>1459</v>
      </c>
      <c r="D12" s="1166"/>
      <c r="E12" s="715">
        <v>2</v>
      </c>
      <c r="F12" s="713">
        <v>7000000</v>
      </c>
      <c r="G12" s="713">
        <v>3500000</v>
      </c>
      <c r="H12" s="709"/>
    </row>
    <row r="13" spans="1:8" ht="15" customHeight="1">
      <c r="A13" s="1173"/>
      <c r="B13" s="1198"/>
      <c r="C13" s="1167" t="s">
        <v>1460</v>
      </c>
      <c r="D13" s="1166"/>
      <c r="E13" s="715">
        <v>13</v>
      </c>
      <c r="F13" s="713">
        <v>127000000</v>
      </c>
      <c r="G13" s="713">
        <v>51892857</v>
      </c>
      <c r="H13" s="709"/>
    </row>
    <row r="14" spans="1:8" ht="15" customHeight="1">
      <c r="A14" s="1168" t="s">
        <v>1461</v>
      </c>
      <c r="B14" s="718" t="s">
        <v>1462</v>
      </c>
      <c r="C14" s="1167" t="s">
        <v>1463</v>
      </c>
      <c r="D14" s="1166"/>
      <c r="E14" s="719">
        <v>58</v>
      </c>
      <c r="F14" s="720">
        <v>1433800000</v>
      </c>
      <c r="G14" s="720">
        <v>24720690</v>
      </c>
      <c r="H14" s="721"/>
    </row>
    <row r="15" spans="1:8" ht="15" customHeight="1">
      <c r="A15" s="1176"/>
      <c r="B15" s="718" t="s">
        <v>1464</v>
      </c>
      <c r="C15" s="1167" t="s">
        <v>1463</v>
      </c>
      <c r="D15" s="1166"/>
      <c r="E15" s="719"/>
      <c r="F15" s="720"/>
      <c r="G15" s="720"/>
      <c r="H15" s="721"/>
    </row>
    <row r="16" spans="1:8" ht="15" customHeight="1">
      <c r="A16" s="1176"/>
      <c r="B16" s="1167" t="s">
        <v>1458</v>
      </c>
      <c r="C16" s="1170"/>
      <c r="D16" s="1166"/>
      <c r="E16" s="719">
        <v>12</v>
      </c>
      <c r="F16" s="720">
        <v>76000000</v>
      </c>
      <c r="G16" s="720">
        <v>6333333</v>
      </c>
      <c r="H16" s="721"/>
    </row>
    <row r="17" spans="1:8" ht="15" customHeight="1">
      <c r="A17" s="1199"/>
      <c r="B17" s="1167" t="s">
        <v>1459</v>
      </c>
      <c r="C17" s="1170"/>
      <c r="D17" s="1166"/>
      <c r="E17" s="719">
        <v>12</v>
      </c>
      <c r="F17" s="720">
        <v>60000000</v>
      </c>
      <c r="G17" s="720">
        <v>5000000</v>
      </c>
      <c r="H17" s="721"/>
    </row>
    <row r="18" spans="1:8" ht="15" customHeight="1">
      <c r="A18" s="1168" t="s">
        <v>1465</v>
      </c>
      <c r="B18" s="1162"/>
      <c r="C18" s="1162"/>
      <c r="D18" s="1162"/>
      <c r="E18" s="714">
        <v>95</v>
      </c>
      <c r="F18" s="722">
        <v>1696800000</v>
      </c>
      <c r="G18" s="722">
        <v>17861053</v>
      </c>
      <c r="H18" s="710"/>
    </row>
    <row r="19" spans="1:8" ht="15" customHeight="1">
      <c r="A19" s="1175" t="s">
        <v>1466</v>
      </c>
      <c r="B19" s="1163" t="s">
        <v>1467</v>
      </c>
      <c r="C19" s="717" t="s">
        <v>1449</v>
      </c>
      <c r="D19" s="717"/>
      <c r="E19" s="717">
        <v>7</v>
      </c>
      <c r="F19" s="723">
        <v>200000000</v>
      </c>
      <c r="G19" s="723">
        <v>28571429</v>
      </c>
      <c r="H19" s="708" t="s">
        <v>1468</v>
      </c>
    </row>
    <row r="20" spans="1:8" ht="15" customHeight="1">
      <c r="A20" s="1176"/>
      <c r="B20" s="1164"/>
      <c r="C20" s="1179" t="s">
        <v>1450</v>
      </c>
      <c r="D20" s="715" t="s">
        <v>1451</v>
      </c>
      <c r="E20" s="715">
        <v>7</v>
      </c>
      <c r="F20" s="713">
        <v>205000000</v>
      </c>
      <c r="G20" s="713">
        <v>29285714</v>
      </c>
      <c r="H20" s="709"/>
    </row>
    <row r="21" spans="1:8" ht="15" customHeight="1">
      <c r="A21" s="1176"/>
      <c r="B21" s="1164"/>
      <c r="C21" s="1179"/>
      <c r="D21" s="715" t="s">
        <v>1452</v>
      </c>
      <c r="E21" s="715">
        <v>4</v>
      </c>
      <c r="F21" s="713">
        <v>20000000</v>
      </c>
      <c r="G21" s="713">
        <v>5000000</v>
      </c>
      <c r="H21" s="709"/>
    </row>
    <row r="22" spans="1:8" ht="15" customHeight="1">
      <c r="A22" s="1176"/>
      <c r="B22" s="1164"/>
      <c r="C22" s="715" t="s">
        <v>1456</v>
      </c>
      <c r="D22" s="715" t="s">
        <v>1457</v>
      </c>
      <c r="E22" s="715">
        <v>6</v>
      </c>
      <c r="F22" s="713">
        <v>20900000</v>
      </c>
      <c r="G22" s="713">
        <v>3483333</v>
      </c>
      <c r="H22" s="709"/>
    </row>
    <row r="23" spans="1:8" ht="15" customHeight="1">
      <c r="A23" s="1176"/>
      <c r="B23" s="1164"/>
      <c r="C23" s="715" t="s">
        <v>1469</v>
      </c>
      <c r="D23" s="715" t="s">
        <v>1470</v>
      </c>
      <c r="E23" s="715">
        <v>7</v>
      </c>
      <c r="F23" s="713">
        <v>9000000</v>
      </c>
      <c r="G23" s="713">
        <v>1285714</v>
      </c>
      <c r="H23" s="709"/>
    </row>
    <row r="24" spans="1:8" ht="15" customHeight="1">
      <c r="A24" s="1176"/>
      <c r="B24" s="1165"/>
      <c r="C24" s="1167" t="s">
        <v>1458</v>
      </c>
      <c r="D24" s="1166"/>
      <c r="E24" s="715">
        <v>7</v>
      </c>
      <c r="F24" s="713">
        <v>56000000</v>
      </c>
      <c r="G24" s="713">
        <v>8000000</v>
      </c>
      <c r="H24" s="709"/>
    </row>
    <row r="25" spans="1:8" ht="15" customHeight="1">
      <c r="A25" s="1176"/>
      <c r="B25" s="1179" t="s">
        <v>1460</v>
      </c>
      <c r="C25" s="1179"/>
      <c r="D25" s="1179"/>
      <c r="E25" s="715">
        <v>40</v>
      </c>
      <c r="F25" s="713">
        <v>510900000</v>
      </c>
      <c r="G25" s="713">
        <v>75626190</v>
      </c>
      <c r="H25" s="709"/>
    </row>
    <row r="26" spans="1:8" ht="15" customHeight="1">
      <c r="A26" s="1176"/>
      <c r="B26" s="1169" t="s">
        <v>1471</v>
      </c>
      <c r="C26" s="719" t="s">
        <v>1472</v>
      </c>
      <c r="D26" s="719"/>
      <c r="E26" s="719">
        <v>6</v>
      </c>
      <c r="F26" s="720">
        <v>100000000</v>
      </c>
      <c r="G26" s="720">
        <v>16666667</v>
      </c>
      <c r="H26" s="721"/>
    </row>
    <row r="27" spans="1:8" ht="15" customHeight="1">
      <c r="A27" s="1195"/>
      <c r="B27" s="1165"/>
      <c r="C27" s="719" t="s">
        <v>1458</v>
      </c>
      <c r="D27" s="719"/>
      <c r="E27" s="719"/>
      <c r="F27" s="720"/>
      <c r="G27" s="720"/>
      <c r="H27" s="721"/>
    </row>
    <row r="28" spans="1:8" ht="15" customHeight="1">
      <c r="A28" s="1161" t="s">
        <v>1465</v>
      </c>
      <c r="B28" s="1162"/>
      <c r="C28" s="1162"/>
      <c r="D28" s="1162"/>
      <c r="E28" s="712">
        <v>45</v>
      </c>
      <c r="F28" s="724">
        <v>610900000</v>
      </c>
      <c r="G28" s="724">
        <v>13575556</v>
      </c>
      <c r="H28" s="711"/>
    </row>
  </sheetData>
  <mergeCells count="19">
    <mergeCell ref="B16:D16"/>
    <mergeCell ref="C14:D14"/>
    <mergeCell ref="C15:D15"/>
    <mergeCell ref="B17:D17"/>
    <mergeCell ref="A14:A17"/>
    <mergeCell ref="A1:H1"/>
    <mergeCell ref="C3:D3"/>
    <mergeCell ref="A4:B13"/>
    <mergeCell ref="C11:D11"/>
    <mergeCell ref="C12:D12"/>
    <mergeCell ref="C13:D13"/>
    <mergeCell ref="A18:D18"/>
    <mergeCell ref="A28:D28"/>
    <mergeCell ref="A19:A27"/>
    <mergeCell ref="B19:B24"/>
    <mergeCell ref="C20:C21"/>
    <mergeCell ref="C24:D24"/>
    <mergeCell ref="B25:D25"/>
    <mergeCell ref="B26:B27"/>
  </mergeCells>
  <printOptions/>
  <pageMargins left="0.7874015748031497" right="0.8267716535433072" top="0.7086614173228347" bottom="0.3937007874015748" header="0.3937007874015748" footer="0.31496062992125984"/>
  <pageSetup horizontalDpi="600" verticalDpi="600" orientation="landscape" paperSize="9" r:id="rId1"/>
  <headerFooter>
    <oddHeader>&amp;L&amp;"새굴림,보통"&amp;9&lt;별지제2호서식&gt;&amp;R
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 topLeftCell="A1">
      <selection activeCell="D32" sqref="D32"/>
    </sheetView>
  </sheetViews>
  <sheetFormatPr defaultColWidth="9.00390625" defaultRowHeight="27" customHeight="1"/>
  <cols>
    <col min="1" max="1" width="17.125" style="69" customWidth="1"/>
    <col min="2" max="2" width="15.75390625" style="10" customWidth="1"/>
    <col min="3" max="3" width="16.375" style="10" customWidth="1"/>
    <col min="4" max="4" width="20.75390625" style="766" customWidth="1"/>
    <col min="5" max="5" width="45.25390625" style="10" customWidth="1"/>
    <col min="6" max="16384" width="9.00390625" style="10" customWidth="1"/>
  </cols>
  <sheetData>
    <row r="1" spans="1:5" s="9" customFormat="1" ht="30.75" customHeight="1">
      <c r="A1" s="993" t="s">
        <v>1473</v>
      </c>
      <c r="B1" s="993"/>
      <c r="C1" s="993"/>
      <c r="D1" s="993"/>
      <c r="E1" s="993"/>
    </row>
    <row r="2" spans="1:5" s="9" customFormat="1" ht="18" customHeight="1">
      <c r="A2" s="1029" t="s">
        <v>1474</v>
      </c>
      <c r="B2" s="1029"/>
      <c r="C2" s="1029"/>
      <c r="D2" s="1029"/>
      <c r="E2" s="1029"/>
    </row>
    <row r="3" spans="1:5" ht="27.75" customHeight="1">
      <c r="A3" s="1030" t="s">
        <v>1475</v>
      </c>
      <c r="B3" s="1031"/>
      <c r="C3" s="1031"/>
      <c r="D3" s="1031"/>
      <c r="E3" s="1032"/>
    </row>
    <row r="4" spans="1:5" s="7" customFormat="1" ht="21.75" customHeight="1">
      <c r="A4" s="1203" t="s">
        <v>1476</v>
      </c>
      <c r="B4" s="1204"/>
      <c r="C4" s="1205"/>
      <c r="D4" s="1206" t="s">
        <v>1478</v>
      </c>
      <c r="E4" s="1188" t="s">
        <v>1477</v>
      </c>
    </row>
    <row r="5" spans="1:5" s="8" customFormat="1" ht="17.25" customHeight="1">
      <c r="A5" s="695" t="s">
        <v>1479</v>
      </c>
      <c r="B5" s="695" t="s">
        <v>1480</v>
      </c>
      <c r="C5" s="695" t="s">
        <v>1481</v>
      </c>
      <c r="D5" s="1207"/>
      <c r="E5" s="1189"/>
    </row>
    <row r="6" spans="1:5" s="15" customFormat="1" ht="12" customHeight="1">
      <c r="A6" s="727">
        <v>5100</v>
      </c>
      <c r="B6" s="747"/>
      <c r="C6" s="748"/>
      <c r="D6" s="769"/>
      <c r="E6" s="738"/>
    </row>
    <row r="7" spans="1:5" s="15" customFormat="1" ht="12" customHeight="1">
      <c r="A7" s="760" t="s">
        <v>1482</v>
      </c>
      <c r="B7" s="761"/>
      <c r="C7" s="771"/>
      <c r="D7" s="770">
        <v>2771000000</v>
      </c>
      <c r="E7" s="770"/>
    </row>
    <row r="8" spans="1:5" s="15" customFormat="1" ht="12" customHeight="1">
      <c r="A8" s="731"/>
      <c r="B8" s="727">
        <v>5120</v>
      </c>
      <c r="C8" s="775"/>
      <c r="D8" s="769"/>
      <c r="E8" s="769"/>
    </row>
    <row r="9" spans="1:5" s="15" customFormat="1" ht="12" customHeight="1">
      <c r="A9" s="732"/>
      <c r="B9" s="760" t="s">
        <v>1483</v>
      </c>
      <c r="C9" s="730"/>
      <c r="D9" s="770">
        <v>2771000000</v>
      </c>
      <c r="E9" s="726"/>
    </row>
    <row r="10" spans="1:5" s="15" customFormat="1" ht="12" customHeight="1">
      <c r="A10" s="732"/>
      <c r="B10" s="731"/>
      <c r="C10" s="733">
        <v>5121</v>
      </c>
      <c r="D10" s="772"/>
      <c r="E10" s="734"/>
    </row>
    <row r="11" spans="1:5" s="15" customFormat="1" ht="12" customHeight="1">
      <c r="A11" s="732"/>
      <c r="B11" s="732"/>
      <c r="C11" s="742" t="s">
        <v>1484</v>
      </c>
      <c r="D11" s="772">
        <v>2771000000</v>
      </c>
      <c r="E11" s="743"/>
    </row>
    <row r="12" spans="1:5" s="15" customFormat="1" ht="12" customHeight="1">
      <c r="A12" s="732"/>
      <c r="B12" s="731"/>
      <c r="C12" s="742"/>
      <c r="D12" s="772">
        <v>910000000</v>
      </c>
      <c r="E12" s="755" t="s">
        <v>1485</v>
      </c>
    </row>
    <row r="13" spans="1:5" s="15" customFormat="1" ht="12" customHeight="1">
      <c r="A13" s="732"/>
      <c r="B13" s="731"/>
      <c r="C13" s="742"/>
      <c r="D13" s="772">
        <v>200000000</v>
      </c>
      <c r="E13" s="755" t="s">
        <v>1486</v>
      </c>
    </row>
    <row r="14" spans="1:5" s="15" customFormat="1" ht="12" customHeight="1">
      <c r="A14" s="732"/>
      <c r="B14" s="731"/>
      <c r="C14" s="742"/>
      <c r="D14" s="772">
        <v>1100000000</v>
      </c>
      <c r="E14" s="755" t="s">
        <v>1487</v>
      </c>
    </row>
    <row r="15" spans="1:5" s="15" customFormat="1" ht="12" customHeight="1">
      <c r="A15" s="732"/>
      <c r="B15" s="731"/>
      <c r="C15" s="742"/>
      <c r="D15" s="772">
        <v>561000000</v>
      </c>
      <c r="E15" s="755" t="s">
        <v>1488</v>
      </c>
    </row>
    <row r="16" spans="1:5" s="15" customFormat="1" ht="12" customHeight="1">
      <c r="A16" s="736">
        <v>5300</v>
      </c>
      <c r="B16" s="727"/>
      <c r="C16" s="735"/>
      <c r="D16" s="774"/>
      <c r="E16" s="741"/>
    </row>
    <row r="17" spans="1:5" s="15" customFormat="1" ht="12" customHeight="1">
      <c r="A17" s="760" t="s">
        <v>1489</v>
      </c>
      <c r="B17" s="761"/>
      <c r="C17" s="739"/>
      <c r="D17" s="770">
        <v>1328280000</v>
      </c>
      <c r="E17" s="726"/>
    </row>
    <row r="18" spans="1:5" s="15" customFormat="1" ht="12" customHeight="1">
      <c r="A18" s="731"/>
      <c r="B18" s="727">
        <v>5320</v>
      </c>
      <c r="C18" s="737"/>
      <c r="D18" s="769"/>
      <c r="E18" s="744"/>
    </row>
    <row r="19" spans="1:5" s="15" customFormat="1" ht="12" customHeight="1">
      <c r="A19" s="745"/>
      <c r="B19" s="760" t="s">
        <v>1490</v>
      </c>
      <c r="C19" s="739"/>
      <c r="D19" s="770">
        <v>130100000</v>
      </c>
      <c r="E19" s="726"/>
    </row>
    <row r="20" spans="1:5" s="15" customFormat="1" ht="12" customHeight="1">
      <c r="A20" s="760"/>
      <c r="B20" s="760"/>
      <c r="C20" s="740">
        <v>5321</v>
      </c>
      <c r="D20" s="769"/>
      <c r="E20" s="725"/>
    </row>
    <row r="21" spans="1:5" s="15" customFormat="1" ht="12" customHeight="1">
      <c r="A21" s="732"/>
      <c r="B21" s="762"/>
      <c r="C21" s="742" t="s">
        <v>1491</v>
      </c>
      <c r="D21" s="772">
        <v>100000</v>
      </c>
      <c r="E21" s="743"/>
    </row>
    <row r="22" spans="1:5" s="15" customFormat="1" ht="12" customHeight="1">
      <c r="A22" s="732"/>
      <c r="B22" s="762"/>
      <c r="C22" s="730"/>
      <c r="D22" s="770">
        <v>100000</v>
      </c>
      <c r="E22" s="756" t="s">
        <v>1491</v>
      </c>
    </row>
    <row r="23" spans="1:5" s="15" customFormat="1" ht="12" customHeight="1">
      <c r="A23" s="732"/>
      <c r="B23" s="762"/>
      <c r="C23" s="735">
        <v>5322</v>
      </c>
      <c r="D23" s="769"/>
      <c r="E23" s="738"/>
    </row>
    <row r="24" spans="1:5" s="15" customFormat="1" ht="12" customHeight="1">
      <c r="A24" s="732"/>
      <c r="B24" s="762"/>
      <c r="C24" s="742" t="s">
        <v>1492</v>
      </c>
      <c r="D24" s="772">
        <v>130000000</v>
      </c>
      <c r="E24" s="743"/>
    </row>
    <row r="25" spans="1:5" s="15" customFormat="1" ht="12" customHeight="1">
      <c r="A25" s="732"/>
      <c r="B25" s="762"/>
      <c r="C25" s="742"/>
      <c r="D25" s="772">
        <v>120000000</v>
      </c>
      <c r="E25" s="754" t="s">
        <v>1493</v>
      </c>
    </row>
    <row r="26" spans="1:5" s="15" customFormat="1" ht="12" customHeight="1">
      <c r="A26" s="732"/>
      <c r="B26" s="762"/>
      <c r="C26" s="742"/>
      <c r="D26" s="772">
        <v>10000000</v>
      </c>
      <c r="E26" s="755" t="s">
        <v>1494</v>
      </c>
    </row>
    <row r="27" spans="1:5" s="15" customFormat="1" ht="12" customHeight="1">
      <c r="A27" s="732"/>
      <c r="B27" s="727">
        <v>5330</v>
      </c>
      <c r="C27" s="737"/>
      <c r="D27" s="769"/>
      <c r="E27" s="738"/>
    </row>
    <row r="28" spans="1:5" s="15" customFormat="1" ht="12" customHeight="1">
      <c r="A28" s="732"/>
      <c r="B28" s="760" t="s">
        <v>1495</v>
      </c>
      <c r="C28" s="739"/>
      <c r="D28" s="770">
        <v>1198180000</v>
      </c>
      <c r="E28" s="726"/>
    </row>
    <row r="29" spans="1:5" s="15" customFormat="1" ht="12" customHeight="1">
      <c r="A29" s="732"/>
      <c r="B29" s="731"/>
      <c r="C29" s="746">
        <v>5339</v>
      </c>
      <c r="D29" s="769"/>
      <c r="E29" s="725"/>
    </row>
    <row r="30" spans="1:5" s="15" customFormat="1" ht="12" customHeight="1">
      <c r="A30" s="732"/>
      <c r="B30" s="731"/>
      <c r="C30" s="742" t="s">
        <v>853</v>
      </c>
      <c r="D30" s="772">
        <v>1198180000</v>
      </c>
      <c r="E30" s="734"/>
    </row>
    <row r="31" spans="1:5" s="15" customFormat="1" ht="12" customHeight="1">
      <c r="A31" s="732"/>
      <c r="B31" s="731"/>
      <c r="C31" s="753"/>
      <c r="D31" s="799">
        <v>304000000</v>
      </c>
      <c r="E31" s="757" t="s">
        <v>1496</v>
      </c>
    </row>
    <row r="32" spans="1:5" s="15" customFormat="1" ht="12" customHeight="1">
      <c r="A32" s="732"/>
      <c r="B32" s="731"/>
      <c r="C32" s="753"/>
      <c r="D32" s="799">
        <v>150000000</v>
      </c>
      <c r="E32" s="757" t="s">
        <v>1497</v>
      </c>
    </row>
    <row r="33" spans="1:5" s="15" customFormat="1" ht="12" customHeight="1">
      <c r="A33" s="732"/>
      <c r="B33" s="731"/>
      <c r="C33" s="753"/>
      <c r="D33" s="799">
        <v>300000000</v>
      </c>
      <c r="E33" s="757" t="s">
        <v>1498</v>
      </c>
    </row>
    <row r="34" spans="1:5" s="15" customFormat="1" ht="12" customHeight="1">
      <c r="A34" s="732"/>
      <c r="B34" s="731"/>
      <c r="C34" s="753"/>
      <c r="D34" s="799">
        <v>271180000</v>
      </c>
      <c r="E34" s="757" t="s">
        <v>1499</v>
      </c>
    </row>
    <row r="35" spans="1:5" s="15" customFormat="1" ht="12" customHeight="1">
      <c r="A35" s="732"/>
      <c r="B35" s="731"/>
      <c r="C35" s="753"/>
      <c r="D35" s="799">
        <v>40000000</v>
      </c>
      <c r="E35" s="757" t="s">
        <v>1500</v>
      </c>
    </row>
    <row r="36" spans="1:5" s="15" customFormat="1" ht="12" customHeight="1">
      <c r="A36" s="729"/>
      <c r="B36" s="728"/>
      <c r="C36" s="764"/>
      <c r="D36" s="827">
        <v>54000000</v>
      </c>
      <c r="E36" s="798" t="s">
        <v>1501</v>
      </c>
    </row>
    <row r="37" spans="1:5" s="15" customFormat="1" ht="12" customHeight="1">
      <c r="A37" s="732"/>
      <c r="B37" s="731"/>
      <c r="C37" s="753"/>
      <c r="D37" s="799">
        <v>29000000</v>
      </c>
      <c r="E37" s="757" t="s">
        <v>1502</v>
      </c>
    </row>
    <row r="38" spans="1:5" s="15" customFormat="1" ht="12" customHeight="1">
      <c r="A38" s="729"/>
      <c r="B38" s="728"/>
      <c r="C38" s="764"/>
      <c r="D38" s="827">
        <v>50000000</v>
      </c>
      <c r="E38" s="758" t="s">
        <v>1503</v>
      </c>
    </row>
    <row r="39" spans="1:5" s="15" customFormat="1" ht="12" customHeight="1">
      <c r="A39" s="727">
        <v>5400</v>
      </c>
      <c r="B39" s="747"/>
      <c r="C39" s="748"/>
      <c r="D39" s="769"/>
      <c r="E39" s="738"/>
    </row>
    <row r="40" spans="1:5" s="15" customFormat="1" ht="12" customHeight="1">
      <c r="A40" s="760" t="s">
        <v>1504</v>
      </c>
      <c r="B40" s="761"/>
      <c r="C40" s="730"/>
      <c r="D40" s="770">
        <v>100100000</v>
      </c>
      <c r="E40" s="726"/>
    </row>
    <row r="41" spans="1:5" s="15" customFormat="1" ht="12" customHeight="1">
      <c r="A41" s="731"/>
      <c r="B41" s="727">
        <v>5410</v>
      </c>
      <c r="C41" s="737"/>
      <c r="D41" s="769"/>
      <c r="E41" s="725"/>
    </row>
    <row r="42" spans="1:5" s="15" customFormat="1" ht="12" customHeight="1">
      <c r="A42" s="732"/>
      <c r="B42" s="760" t="s">
        <v>1152</v>
      </c>
      <c r="C42" s="730"/>
      <c r="D42" s="770">
        <v>80100000</v>
      </c>
      <c r="E42" s="726"/>
    </row>
    <row r="43" spans="1:5" s="15" customFormat="1" ht="12" customHeight="1">
      <c r="A43" s="732"/>
      <c r="B43" s="731"/>
      <c r="C43" s="733">
        <v>5411</v>
      </c>
      <c r="D43" s="772"/>
      <c r="E43" s="734"/>
    </row>
    <row r="44" spans="1:5" s="15" customFormat="1" ht="12" customHeight="1">
      <c r="A44" s="732"/>
      <c r="B44" s="732"/>
      <c r="C44" s="742" t="s">
        <v>1505</v>
      </c>
      <c r="D44" s="772">
        <v>60100000</v>
      </c>
      <c r="E44" s="743"/>
    </row>
    <row r="45" spans="1:5" s="15" customFormat="1" ht="12" customHeight="1">
      <c r="A45" s="732"/>
      <c r="B45" s="732"/>
      <c r="C45" s="730"/>
      <c r="D45" s="770">
        <v>60100000</v>
      </c>
      <c r="E45" s="756" t="s">
        <v>1152</v>
      </c>
    </row>
    <row r="46" spans="1:5" s="15" customFormat="1" ht="12" customHeight="1">
      <c r="A46" s="732"/>
      <c r="B46" s="731"/>
      <c r="C46" s="735">
        <v>5421</v>
      </c>
      <c r="D46" s="769"/>
      <c r="E46" s="725"/>
    </row>
    <row r="47" spans="1:5" s="15" customFormat="1" ht="12" customHeight="1">
      <c r="A47" s="732"/>
      <c r="B47" s="731"/>
      <c r="C47" s="742" t="s">
        <v>1506</v>
      </c>
      <c r="D47" s="772">
        <v>20000000</v>
      </c>
      <c r="E47" s="734"/>
    </row>
    <row r="48" spans="1:5" s="15" customFormat="1" ht="12" customHeight="1">
      <c r="A48" s="732"/>
      <c r="B48" s="731"/>
      <c r="C48" s="742"/>
      <c r="D48" s="772">
        <v>20000000</v>
      </c>
      <c r="E48" s="757" t="s">
        <v>1507</v>
      </c>
    </row>
    <row r="49" spans="1:5" s="15" customFormat="1" ht="12" customHeight="1">
      <c r="A49" s="727">
        <v>1200</v>
      </c>
      <c r="B49" s="747"/>
      <c r="C49" s="748"/>
      <c r="D49" s="769"/>
      <c r="E49" s="738"/>
    </row>
    <row r="50" spans="1:5" s="15" customFormat="1" ht="12" customHeight="1">
      <c r="A50" s="760" t="s">
        <v>1508</v>
      </c>
      <c r="B50" s="761"/>
      <c r="C50" s="730"/>
      <c r="D50" s="770">
        <v>1600200000</v>
      </c>
      <c r="E50" s="726"/>
    </row>
    <row r="51" spans="1:5" s="15" customFormat="1" ht="12" customHeight="1">
      <c r="A51" s="760" t="s">
        <v>1509</v>
      </c>
      <c r="B51" s="727">
        <v>1240</v>
      </c>
      <c r="C51" s="737"/>
      <c r="D51" s="769"/>
      <c r="E51" s="725"/>
    </row>
    <row r="52" spans="1:5" s="15" customFormat="1" ht="12" customHeight="1">
      <c r="A52" s="732"/>
      <c r="B52" s="760" t="s">
        <v>1510</v>
      </c>
      <c r="C52" s="730"/>
      <c r="D52" s="770">
        <v>1600200000</v>
      </c>
      <c r="E52" s="726"/>
    </row>
    <row r="53" spans="1:5" s="15" customFormat="1" ht="12" customHeight="1">
      <c r="A53" s="732"/>
      <c r="B53" s="731"/>
      <c r="C53" s="733">
        <v>1242</v>
      </c>
      <c r="D53" s="772"/>
      <c r="E53" s="734"/>
    </row>
    <row r="54" spans="1:5" s="15" customFormat="1" ht="12" customHeight="1">
      <c r="A54" s="732"/>
      <c r="B54" s="732"/>
      <c r="C54" s="742" t="s">
        <v>1511</v>
      </c>
      <c r="D54" s="772">
        <v>8000000</v>
      </c>
      <c r="E54" s="743"/>
    </row>
    <row r="55" spans="1:5" s="15" customFormat="1" ht="12" customHeight="1">
      <c r="A55" s="732"/>
      <c r="B55" s="732"/>
      <c r="C55" s="730"/>
      <c r="D55" s="770">
        <v>8000000</v>
      </c>
      <c r="E55" s="756" t="s">
        <v>1512</v>
      </c>
    </row>
    <row r="56" spans="1:5" s="15" customFormat="1" ht="12" customHeight="1">
      <c r="A56" s="732"/>
      <c r="B56" s="731"/>
      <c r="C56" s="733">
        <v>1242</v>
      </c>
      <c r="D56" s="772"/>
      <c r="E56" s="734"/>
    </row>
    <row r="57" spans="1:5" s="15" customFormat="1" ht="12" customHeight="1">
      <c r="A57" s="732"/>
      <c r="B57" s="732"/>
      <c r="C57" s="742" t="s">
        <v>1513</v>
      </c>
      <c r="D57" s="772">
        <v>1592200000</v>
      </c>
      <c r="E57" s="743"/>
    </row>
    <row r="58" spans="1:5" s="15" customFormat="1" ht="12" customHeight="1">
      <c r="A58" s="732"/>
      <c r="B58" s="729"/>
      <c r="C58" s="730"/>
      <c r="D58" s="770">
        <v>1592200000</v>
      </c>
      <c r="E58" s="756" t="s">
        <v>1514</v>
      </c>
    </row>
    <row r="59" spans="1:5" s="15" customFormat="1" ht="12" customHeight="1">
      <c r="A59" s="749" t="s">
        <v>1515</v>
      </c>
      <c r="B59" s="759"/>
      <c r="C59" s="750"/>
      <c r="D59" s="782">
        <v>1877600000</v>
      </c>
      <c r="E59" s="751"/>
    </row>
    <row r="60" spans="1:5" s="15" customFormat="1" ht="12" customHeight="1">
      <c r="A60" s="731"/>
      <c r="B60" s="736">
        <v>1100</v>
      </c>
      <c r="C60" s="750"/>
      <c r="D60" s="782"/>
      <c r="E60" s="751"/>
    </row>
    <row r="61" spans="1:5" s="15" customFormat="1" ht="18" customHeight="1">
      <c r="A61" s="731"/>
      <c r="B61" s="760" t="s">
        <v>1516</v>
      </c>
      <c r="C61" s="752"/>
      <c r="D61" s="770">
        <v>1877600000</v>
      </c>
      <c r="E61" s="726"/>
    </row>
    <row r="62" spans="1:5" ht="27" customHeight="1">
      <c r="A62" s="731"/>
      <c r="B62" s="731"/>
      <c r="C62" s="735">
        <v>1100</v>
      </c>
      <c r="D62" s="769"/>
      <c r="E62" s="725"/>
    </row>
    <row r="63" spans="1:5" ht="27" customHeight="1">
      <c r="A63" s="731"/>
      <c r="B63" s="728"/>
      <c r="C63" s="730" t="s">
        <v>1516</v>
      </c>
      <c r="D63" s="770">
        <v>1877600000</v>
      </c>
      <c r="E63" s="758" t="s">
        <v>1517</v>
      </c>
    </row>
    <row r="64" spans="1:5" ht="27" customHeight="1">
      <c r="A64" s="1200" t="s">
        <v>1651</v>
      </c>
      <c r="B64" s="1201"/>
      <c r="C64" s="1202"/>
      <c r="D64" s="817">
        <v>7677180000</v>
      </c>
      <c r="E64" s="763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4.25"/>
    <row r="88" ht="14.25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8" customHeight="1"/>
  </sheetData>
  <mergeCells count="7">
    <mergeCell ref="A64:C64"/>
    <mergeCell ref="A1:E1"/>
    <mergeCell ref="A2:E2"/>
    <mergeCell ref="A3:E3"/>
    <mergeCell ref="A4:C4"/>
    <mergeCell ref="D4:D5"/>
    <mergeCell ref="E4:E5"/>
  </mergeCells>
  <printOptions/>
  <pageMargins left="0.7086614173228347" right="0.6692913385826772" top="0.7480314960629921" bottom="0.5118110236220472" header="0.31496062992125984" footer="0.2362204724409449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workbookViewId="0" topLeftCell="A1">
      <selection activeCell="G41" sqref="G41"/>
    </sheetView>
  </sheetViews>
  <sheetFormatPr defaultColWidth="9.00390625" defaultRowHeight="14.25"/>
  <cols>
    <col min="1" max="1" width="16.50390625" style="69" customWidth="1"/>
    <col min="2" max="2" width="16.75390625" style="69" customWidth="1"/>
    <col min="3" max="3" width="18.75390625" style="9" customWidth="1"/>
    <col min="4" max="4" width="20.75390625" style="765" customWidth="1"/>
    <col min="5" max="5" width="41.125" style="9" customWidth="1"/>
    <col min="6" max="6" width="16.125" style="9" bestFit="1" customWidth="1"/>
    <col min="7" max="16384" width="9.00390625" style="9" customWidth="1"/>
  </cols>
  <sheetData>
    <row r="1" spans="1:5" ht="29.25" customHeight="1">
      <c r="A1" s="993" t="s">
        <v>1473</v>
      </c>
      <c r="B1" s="994"/>
      <c r="C1" s="994"/>
      <c r="D1" s="994"/>
      <c r="E1" s="994"/>
    </row>
    <row r="2" spans="1:5" ht="20.25" customHeight="1">
      <c r="A2" s="995" t="s">
        <v>1474</v>
      </c>
      <c r="B2" s="995"/>
      <c r="C2" s="995"/>
      <c r="D2" s="995"/>
      <c r="E2" s="995"/>
    </row>
    <row r="3" spans="1:5" s="72" customFormat="1" ht="25.5" customHeight="1">
      <c r="A3" s="1030" t="s">
        <v>1518</v>
      </c>
      <c r="B3" s="1031"/>
      <c r="C3" s="1031"/>
      <c r="D3" s="1031"/>
      <c r="E3" s="1032"/>
    </row>
    <row r="4" spans="1:5" s="73" customFormat="1" ht="18.75" customHeight="1">
      <c r="A4" s="1033" t="s">
        <v>1476</v>
      </c>
      <c r="B4" s="1033"/>
      <c r="C4" s="1033"/>
      <c r="D4" s="1034" t="s">
        <v>1478</v>
      </c>
      <c r="E4" s="1188" t="s">
        <v>1477</v>
      </c>
    </row>
    <row r="5" spans="1:5" s="73" customFormat="1" ht="13.5">
      <c r="A5" s="695" t="s">
        <v>1479</v>
      </c>
      <c r="B5" s="695" t="s">
        <v>1480</v>
      </c>
      <c r="C5" s="695" t="s">
        <v>1481</v>
      </c>
      <c r="D5" s="1033"/>
      <c r="E5" s="1189"/>
    </row>
    <row r="6" spans="1:5" s="77" customFormat="1" ht="12">
      <c r="A6" s="767">
        <v>4100</v>
      </c>
      <c r="B6" s="768"/>
      <c r="C6" s="768"/>
      <c r="D6" s="818"/>
      <c r="E6" s="768"/>
    </row>
    <row r="7" spans="1:5" s="77" customFormat="1" ht="12">
      <c r="A7" s="813" t="s">
        <v>1519</v>
      </c>
      <c r="B7" s="795"/>
      <c r="C7" s="819"/>
      <c r="D7" s="770">
        <v>2307700000</v>
      </c>
      <c r="E7" s="770"/>
    </row>
    <row r="8" spans="1:5" s="77" customFormat="1" ht="12">
      <c r="A8" s="792"/>
      <c r="B8" s="783">
        <v>4110</v>
      </c>
      <c r="C8" s="775"/>
      <c r="D8" s="769"/>
      <c r="E8" s="802"/>
    </row>
    <row r="9" spans="1:5" s="77" customFormat="1" ht="12">
      <c r="A9" s="792"/>
      <c r="B9" s="813" t="s">
        <v>1520</v>
      </c>
      <c r="C9" s="771"/>
      <c r="D9" s="770">
        <v>1696800000</v>
      </c>
      <c r="E9" s="798"/>
    </row>
    <row r="10" spans="1:5" s="77" customFormat="1" ht="12">
      <c r="A10" s="792"/>
      <c r="B10" s="788"/>
      <c r="C10" s="773">
        <v>4111</v>
      </c>
      <c r="D10" s="769"/>
      <c r="E10" s="802"/>
    </row>
    <row r="11" spans="1:5" s="77" customFormat="1" ht="12">
      <c r="A11" s="792"/>
      <c r="B11" s="788"/>
      <c r="C11" s="779" t="s">
        <v>1521</v>
      </c>
      <c r="D11" s="772">
        <v>72000000</v>
      </c>
      <c r="E11" s="797"/>
    </row>
    <row r="12" spans="1:5" s="77" customFormat="1" ht="12">
      <c r="A12" s="792"/>
      <c r="B12" s="788"/>
      <c r="C12" s="779"/>
      <c r="D12" s="772">
        <v>72000000</v>
      </c>
      <c r="E12" s="797" t="s">
        <v>1522</v>
      </c>
    </row>
    <row r="13" spans="1:5" s="77" customFormat="1" ht="12">
      <c r="A13" s="792"/>
      <c r="B13" s="788"/>
      <c r="C13" s="773">
        <v>4113</v>
      </c>
      <c r="D13" s="769"/>
      <c r="E13" s="802"/>
    </row>
    <row r="14" spans="1:5" s="77" customFormat="1" ht="12">
      <c r="A14" s="792"/>
      <c r="B14" s="788"/>
      <c r="C14" s="779" t="s">
        <v>1523</v>
      </c>
      <c r="D14" s="772">
        <v>32500000</v>
      </c>
      <c r="E14" s="797"/>
    </row>
    <row r="15" spans="1:5" s="77" customFormat="1" ht="12">
      <c r="A15" s="792"/>
      <c r="B15" s="788"/>
      <c r="C15" s="779"/>
      <c r="D15" s="772">
        <v>19500000</v>
      </c>
      <c r="E15" s="797" t="s">
        <v>1524</v>
      </c>
    </row>
    <row r="16" spans="1:5" s="77" customFormat="1" ht="12">
      <c r="A16" s="792"/>
      <c r="B16" s="788"/>
      <c r="C16" s="779"/>
      <c r="D16" s="772">
        <v>13000000</v>
      </c>
      <c r="E16" s="797" t="s">
        <v>1525</v>
      </c>
    </row>
    <row r="17" spans="1:5" s="77" customFormat="1" ht="12">
      <c r="A17" s="792"/>
      <c r="B17" s="788"/>
      <c r="C17" s="773">
        <v>4114</v>
      </c>
      <c r="D17" s="769"/>
      <c r="E17" s="802"/>
    </row>
    <row r="18" spans="1:5" s="77" customFormat="1" ht="12">
      <c r="A18" s="792"/>
      <c r="B18" s="788"/>
      <c r="C18" s="779" t="s">
        <v>1526</v>
      </c>
      <c r="D18" s="772">
        <v>91500000</v>
      </c>
      <c r="E18" s="797"/>
    </row>
    <row r="19" spans="1:5" s="77" customFormat="1" ht="12">
      <c r="A19" s="792"/>
      <c r="B19" s="788"/>
      <c r="C19" s="779"/>
      <c r="D19" s="772">
        <v>41500000</v>
      </c>
      <c r="E19" s="797" t="s">
        <v>1527</v>
      </c>
    </row>
    <row r="20" spans="1:5" s="77" customFormat="1" ht="12">
      <c r="A20" s="792"/>
      <c r="B20" s="788"/>
      <c r="C20" s="779"/>
      <c r="D20" s="772">
        <v>26000000</v>
      </c>
      <c r="E20" s="797" t="s">
        <v>1528</v>
      </c>
    </row>
    <row r="21" spans="1:5" s="77" customFormat="1" ht="12">
      <c r="A21" s="792"/>
      <c r="B21" s="788"/>
      <c r="C21" s="779"/>
      <c r="D21" s="772">
        <v>24000000</v>
      </c>
      <c r="E21" s="797" t="s">
        <v>1529</v>
      </c>
    </row>
    <row r="22" spans="1:5" s="77" customFormat="1" ht="12">
      <c r="A22" s="788"/>
      <c r="B22" s="792"/>
      <c r="C22" s="784">
        <v>4115</v>
      </c>
      <c r="D22" s="769"/>
      <c r="E22" s="769"/>
    </row>
    <row r="23" spans="1:5" s="77" customFormat="1" ht="12">
      <c r="A23" s="788"/>
      <c r="B23" s="792"/>
      <c r="C23" s="800" t="s">
        <v>1530</v>
      </c>
      <c r="D23" s="772">
        <v>1433800000</v>
      </c>
      <c r="E23" s="772"/>
    </row>
    <row r="24" spans="1:5" s="77" customFormat="1" ht="12">
      <c r="A24" s="788"/>
      <c r="B24" s="792"/>
      <c r="C24" s="800"/>
      <c r="D24" s="772">
        <v>650000000</v>
      </c>
      <c r="E24" s="797" t="s">
        <v>1531</v>
      </c>
    </row>
    <row r="25" spans="1:5" s="77" customFormat="1" ht="12">
      <c r="A25" s="788"/>
      <c r="B25" s="792"/>
      <c r="C25" s="800"/>
      <c r="D25" s="772">
        <v>783800000</v>
      </c>
      <c r="E25" s="797" t="s">
        <v>1530</v>
      </c>
    </row>
    <row r="26" spans="1:5" s="77" customFormat="1" ht="12">
      <c r="A26" s="792"/>
      <c r="B26" s="788"/>
      <c r="C26" s="773">
        <v>4117</v>
      </c>
      <c r="D26" s="769"/>
      <c r="E26" s="802"/>
    </row>
    <row r="27" spans="1:5" s="77" customFormat="1" ht="12">
      <c r="A27" s="792"/>
      <c r="B27" s="788"/>
      <c r="C27" s="779" t="s">
        <v>1532</v>
      </c>
      <c r="D27" s="772">
        <v>67000000</v>
      </c>
      <c r="E27" s="797"/>
    </row>
    <row r="28" spans="1:5" s="77" customFormat="1" ht="12">
      <c r="A28" s="792"/>
      <c r="B28" s="788"/>
      <c r="C28" s="779"/>
      <c r="D28" s="772">
        <v>60000000</v>
      </c>
      <c r="E28" s="797" t="s">
        <v>1533</v>
      </c>
    </row>
    <row r="29" spans="1:5" s="77" customFormat="1" ht="12">
      <c r="A29" s="792"/>
      <c r="B29" s="789"/>
      <c r="C29" s="771"/>
      <c r="D29" s="770">
        <v>7000000</v>
      </c>
      <c r="E29" s="798" t="s">
        <v>1534</v>
      </c>
    </row>
    <row r="30" spans="1:5" s="77" customFormat="1" ht="12">
      <c r="A30" s="792"/>
      <c r="B30" s="783">
        <v>4120</v>
      </c>
      <c r="C30" s="775"/>
      <c r="D30" s="769"/>
      <c r="E30" s="802"/>
    </row>
    <row r="31" spans="1:5" s="77" customFormat="1" ht="12">
      <c r="A31" s="792"/>
      <c r="B31" s="813" t="s">
        <v>1535</v>
      </c>
      <c r="C31" s="771"/>
      <c r="D31" s="770">
        <v>610900000</v>
      </c>
      <c r="E31" s="798"/>
    </row>
    <row r="32" spans="1:5" s="77" customFormat="1" ht="12">
      <c r="A32" s="792"/>
      <c r="B32" s="788"/>
      <c r="C32" s="773">
        <v>4121</v>
      </c>
      <c r="D32" s="769"/>
      <c r="E32" s="802"/>
    </row>
    <row r="33" spans="1:5" s="77" customFormat="1" ht="12">
      <c r="A33" s="792"/>
      <c r="B33" s="788"/>
      <c r="C33" s="779" t="s">
        <v>1536</v>
      </c>
      <c r="D33" s="772">
        <v>200000000</v>
      </c>
      <c r="E33" s="797"/>
    </row>
    <row r="34" spans="1:5" s="77" customFormat="1" ht="12">
      <c r="A34" s="792"/>
      <c r="B34" s="788"/>
      <c r="C34" s="779"/>
      <c r="D34" s="772">
        <v>200000000</v>
      </c>
      <c r="E34" s="797" t="s">
        <v>1536</v>
      </c>
    </row>
    <row r="35" spans="1:5" s="77" customFormat="1" ht="12">
      <c r="A35" s="792"/>
      <c r="B35" s="788"/>
      <c r="C35" s="773">
        <v>4122</v>
      </c>
      <c r="D35" s="769"/>
      <c r="E35" s="802"/>
    </row>
    <row r="36" spans="1:5" s="77" customFormat="1" ht="12">
      <c r="A36" s="793"/>
      <c r="B36" s="789"/>
      <c r="C36" s="771" t="s">
        <v>1537</v>
      </c>
      <c r="D36" s="770">
        <v>205000000</v>
      </c>
      <c r="E36" s="798"/>
    </row>
    <row r="37" spans="1:5" s="77" customFormat="1" ht="12">
      <c r="A37" s="820"/>
      <c r="B37" s="821"/>
      <c r="C37" s="771"/>
      <c r="D37" s="770">
        <v>205000000</v>
      </c>
      <c r="E37" s="798" t="s">
        <v>1538</v>
      </c>
    </row>
    <row r="38" spans="1:5" s="77" customFormat="1" ht="12">
      <c r="A38" s="792"/>
      <c r="B38" s="788"/>
      <c r="C38" s="773">
        <v>4123</v>
      </c>
      <c r="D38" s="769"/>
      <c r="E38" s="802"/>
    </row>
    <row r="39" spans="1:5" s="77" customFormat="1" ht="12">
      <c r="A39" s="792"/>
      <c r="B39" s="788"/>
      <c r="C39" s="779" t="s">
        <v>1539</v>
      </c>
      <c r="D39" s="772">
        <v>49900000</v>
      </c>
      <c r="E39" s="797"/>
    </row>
    <row r="40" spans="1:5" s="77" customFormat="1" ht="12">
      <c r="A40" s="792"/>
      <c r="B40" s="788"/>
      <c r="C40" s="779"/>
      <c r="D40" s="772">
        <v>20000000</v>
      </c>
      <c r="E40" s="797" t="s">
        <v>1452</v>
      </c>
    </row>
    <row r="41" spans="1:5" s="77" customFormat="1" ht="12">
      <c r="A41" s="792"/>
      <c r="B41" s="788"/>
      <c r="C41" s="779"/>
      <c r="D41" s="772"/>
      <c r="E41" s="797"/>
    </row>
    <row r="42" spans="1:5" s="77" customFormat="1" ht="12">
      <c r="A42" s="792"/>
      <c r="B42" s="788"/>
      <c r="C42" s="779"/>
      <c r="D42" s="772">
        <v>9000000</v>
      </c>
      <c r="E42" s="797" t="s">
        <v>1470</v>
      </c>
    </row>
    <row r="43" spans="1:5" s="77" customFormat="1" ht="12">
      <c r="A43" s="792"/>
      <c r="B43" s="788"/>
      <c r="C43" s="779"/>
      <c r="D43" s="772">
        <v>9000000</v>
      </c>
      <c r="E43" s="797" t="s">
        <v>1540</v>
      </c>
    </row>
    <row r="44" spans="1:5" s="77" customFormat="1" ht="12">
      <c r="A44" s="792"/>
      <c r="B44" s="788"/>
      <c r="C44" s="779"/>
      <c r="D44" s="772">
        <v>9000000</v>
      </c>
      <c r="E44" s="842" t="s">
        <v>1541</v>
      </c>
    </row>
    <row r="45" spans="1:5" s="77" customFormat="1" ht="12">
      <c r="A45" s="792"/>
      <c r="B45" s="788"/>
      <c r="C45" s="779"/>
      <c r="D45" s="772">
        <v>2900000</v>
      </c>
      <c r="E45" s="797" t="s">
        <v>1542</v>
      </c>
    </row>
    <row r="46" spans="1:5" s="77" customFormat="1" ht="12">
      <c r="A46" s="792"/>
      <c r="B46" s="788"/>
      <c r="C46" s="773">
        <v>4124</v>
      </c>
      <c r="D46" s="769"/>
      <c r="E46" s="802"/>
    </row>
    <row r="47" spans="1:5" s="77" customFormat="1" ht="12">
      <c r="A47" s="792"/>
      <c r="B47" s="788"/>
      <c r="C47" s="779" t="s">
        <v>1543</v>
      </c>
      <c r="D47" s="772">
        <v>56000000</v>
      </c>
      <c r="E47" s="797"/>
    </row>
    <row r="48" spans="1:5" s="77" customFormat="1" ht="12">
      <c r="A48" s="792"/>
      <c r="B48" s="788"/>
      <c r="C48" s="779"/>
      <c r="D48" s="772">
        <v>43000000</v>
      </c>
      <c r="E48" s="797" t="s">
        <v>1544</v>
      </c>
    </row>
    <row r="49" spans="1:5" s="77" customFormat="1" ht="12">
      <c r="A49" s="792"/>
      <c r="B49" s="788"/>
      <c r="C49" s="779"/>
      <c r="D49" s="772">
        <v>13000000</v>
      </c>
      <c r="E49" s="797" t="s">
        <v>1545</v>
      </c>
    </row>
    <row r="50" spans="1:5" s="77" customFormat="1" ht="12">
      <c r="A50" s="792"/>
      <c r="B50" s="788"/>
      <c r="C50" s="773">
        <v>4125</v>
      </c>
      <c r="D50" s="769"/>
      <c r="E50" s="802"/>
    </row>
    <row r="51" spans="1:5" s="77" customFormat="1" ht="12">
      <c r="A51" s="792"/>
      <c r="B51" s="788"/>
      <c r="C51" s="779" t="s">
        <v>1546</v>
      </c>
      <c r="D51" s="772">
        <v>100000000</v>
      </c>
      <c r="E51" s="797"/>
    </row>
    <row r="52" spans="1:5" s="77" customFormat="1" ht="12">
      <c r="A52" s="792"/>
      <c r="B52" s="788"/>
      <c r="C52" s="779"/>
      <c r="D52" s="772">
        <v>55000000</v>
      </c>
      <c r="E52" s="797" t="s">
        <v>1547</v>
      </c>
    </row>
    <row r="53" spans="1:5" s="77" customFormat="1" ht="12">
      <c r="A53" s="792"/>
      <c r="B53" s="788"/>
      <c r="C53" s="779"/>
      <c r="D53" s="772">
        <v>45000000</v>
      </c>
      <c r="E53" s="797" t="s">
        <v>1548</v>
      </c>
    </row>
    <row r="54" spans="1:5" s="77" customFormat="1" ht="12">
      <c r="A54" s="783">
        <v>4200</v>
      </c>
      <c r="B54" s="815"/>
      <c r="C54" s="775"/>
      <c r="D54" s="769"/>
      <c r="E54" s="802"/>
    </row>
    <row r="55" spans="1:5" s="77" customFormat="1" ht="12">
      <c r="A55" s="813" t="s">
        <v>1549</v>
      </c>
      <c r="B55" s="795"/>
      <c r="C55" s="776"/>
      <c r="D55" s="770">
        <v>1357620000</v>
      </c>
      <c r="E55" s="798"/>
    </row>
    <row r="56" spans="1:5" s="77" customFormat="1" ht="12">
      <c r="A56" s="813"/>
      <c r="B56" s="783">
        <v>4210</v>
      </c>
      <c r="C56" s="787"/>
      <c r="D56" s="772"/>
      <c r="E56" s="797"/>
    </row>
    <row r="57" spans="1:5" s="77" customFormat="1" ht="12">
      <c r="A57" s="813"/>
      <c r="B57" s="813" t="s">
        <v>1550</v>
      </c>
      <c r="C57" s="776"/>
      <c r="D57" s="770">
        <v>243000000</v>
      </c>
      <c r="E57" s="798"/>
    </row>
    <row r="58" spans="1:5" s="77" customFormat="1" ht="12">
      <c r="A58" s="810"/>
      <c r="B58" s="788"/>
      <c r="C58" s="777">
        <v>4211</v>
      </c>
      <c r="D58" s="774"/>
      <c r="E58" s="803"/>
    </row>
    <row r="59" spans="1:5" s="77" customFormat="1" ht="12">
      <c r="A59" s="788"/>
      <c r="B59" s="788"/>
      <c r="C59" s="779" t="s">
        <v>1551</v>
      </c>
      <c r="D59" s="772">
        <v>90000000</v>
      </c>
      <c r="E59" s="797"/>
    </row>
    <row r="60" spans="1:5" s="77" customFormat="1" ht="12">
      <c r="A60" s="788"/>
      <c r="B60" s="788"/>
      <c r="C60" s="779"/>
      <c r="D60" s="772">
        <v>33000000</v>
      </c>
      <c r="E60" s="797" t="s">
        <v>1552</v>
      </c>
    </row>
    <row r="61" spans="1:5" s="77" customFormat="1" ht="12">
      <c r="A61" s="788"/>
      <c r="B61" s="788"/>
      <c r="C61" s="779"/>
      <c r="D61" s="772">
        <v>40000000</v>
      </c>
      <c r="E61" s="797" t="s">
        <v>1553</v>
      </c>
    </row>
    <row r="62" spans="1:5" s="77" customFormat="1" ht="12">
      <c r="A62" s="788"/>
      <c r="B62" s="788"/>
      <c r="C62" s="779"/>
      <c r="D62" s="772">
        <v>10000000</v>
      </c>
      <c r="E62" s="797" t="s">
        <v>1554</v>
      </c>
    </row>
    <row r="63" spans="1:5" s="77" customFormat="1" ht="12">
      <c r="A63" s="788"/>
      <c r="B63" s="788"/>
      <c r="C63" s="779"/>
      <c r="D63" s="772">
        <v>7000000</v>
      </c>
      <c r="E63" s="797" t="s">
        <v>1555</v>
      </c>
    </row>
    <row r="64" spans="1:5" s="77" customFormat="1" ht="12">
      <c r="A64" s="810"/>
      <c r="B64" s="788"/>
      <c r="C64" s="773">
        <v>4212</v>
      </c>
      <c r="D64" s="774"/>
      <c r="E64" s="803"/>
    </row>
    <row r="65" spans="1:5" s="77" customFormat="1" ht="12">
      <c r="A65" s="788"/>
      <c r="B65" s="788"/>
      <c r="C65" s="779" t="s">
        <v>1556</v>
      </c>
      <c r="D65" s="772">
        <v>27500000</v>
      </c>
      <c r="E65" s="797"/>
    </row>
    <row r="66" spans="1:5" s="77" customFormat="1" ht="12">
      <c r="A66" s="788"/>
      <c r="B66" s="788"/>
      <c r="C66" s="779"/>
      <c r="D66" s="772">
        <v>12000000</v>
      </c>
      <c r="E66" s="797" t="s">
        <v>1557</v>
      </c>
    </row>
    <row r="67" spans="1:5" s="77" customFormat="1" ht="12">
      <c r="A67" s="788"/>
      <c r="B67" s="788"/>
      <c r="C67" s="779"/>
      <c r="D67" s="772">
        <v>2748000</v>
      </c>
      <c r="E67" s="797" t="s">
        <v>1558</v>
      </c>
    </row>
    <row r="68" spans="1:5" s="77" customFormat="1" ht="12">
      <c r="A68" s="788"/>
      <c r="B68" s="788"/>
      <c r="C68" s="779"/>
      <c r="D68" s="772">
        <v>3000000</v>
      </c>
      <c r="E68" s="797" t="s">
        <v>1559</v>
      </c>
    </row>
    <row r="69" spans="1:5" s="77" customFormat="1" ht="12">
      <c r="A69" s="788"/>
      <c r="B69" s="788"/>
      <c r="C69" s="779"/>
      <c r="D69" s="772">
        <v>9752000</v>
      </c>
      <c r="E69" s="797" t="s">
        <v>1560</v>
      </c>
    </row>
    <row r="70" spans="1:5" s="77" customFormat="1" ht="12">
      <c r="A70" s="810"/>
      <c r="B70" s="788"/>
      <c r="C70" s="773">
        <v>4215</v>
      </c>
      <c r="D70" s="774"/>
      <c r="E70" s="803"/>
    </row>
    <row r="71" spans="1:5" s="77" customFormat="1" ht="12">
      <c r="A71" s="788"/>
      <c r="B71" s="788"/>
      <c r="C71" s="779" t="s">
        <v>1561</v>
      </c>
      <c r="D71" s="772">
        <v>124000000</v>
      </c>
      <c r="E71" s="797"/>
    </row>
    <row r="72" spans="1:5" s="77" customFormat="1" ht="12">
      <c r="A72" s="788"/>
      <c r="B72" s="788"/>
      <c r="C72" s="779"/>
      <c r="D72" s="772">
        <v>123000000</v>
      </c>
      <c r="E72" s="797" t="s">
        <v>1562</v>
      </c>
    </row>
    <row r="73" spans="1:5" s="77" customFormat="1" ht="12">
      <c r="A73" s="788"/>
      <c r="B73" s="788"/>
      <c r="C73" s="779"/>
      <c r="D73" s="772">
        <v>1000000</v>
      </c>
      <c r="E73" s="797" t="s">
        <v>1563</v>
      </c>
    </row>
    <row r="74" spans="1:5" s="77" customFormat="1" ht="12">
      <c r="A74" s="694"/>
      <c r="B74" s="694"/>
      <c r="C74" s="56">
        <v>4219</v>
      </c>
      <c r="D74" s="98"/>
      <c r="E74" s="172"/>
    </row>
    <row r="75" spans="1:5" s="77" customFormat="1" ht="12">
      <c r="A75" s="788"/>
      <c r="B75" s="788"/>
      <c r="C75" s="779" t="s">
        <v>1564</v>
      </c>
      <c r="D75" s="772">
        <v>1500000</v>
      </c>
      <c r="E75" s="797"/>
    </row>
    <row r="76" spans="1:5" s="77" customFormat="1" ht="12">
      <c r="A76" s="788"/>
      <c r="B76" s="788"/>
      <c r="C76" s="779"/>
      <c r="D76" s="772">
        <v>1500000</v>
      </c>
      <c r="E76" s="797" t="s">
        <v>1565</v>
      </c>
    </row>
    <row r="77" spans="1:5" s="77" customFormat="1" ht="12">
      <c r="A77" s="810"/>
      <c r="B77" s="811">
        <v>4220</v>
      </c>
      <c r="C77" s="773"/>
      <c r="D77" s="774"/>
      <c r="E77" s="803"/>
    </row>
    <row r="78" spans="1:5" s="77" customFormat="1" ht="12">
      <c r="A78" s="788"/>
      <c r="B78" s="813" t="s">
        <v>1566</v>
      </c>
      <c r="C78" s="776"/>
      <c r="D78" s="770">
        <v>291400000</v>
      </c>
      <c r="E78" s="798"/>
    </row>
    <row r="79" spans="1:5" s="77" customFormat="1" ht="12">
      <c r="A79" s="810"/>
      <c r="B79" s="810"/>
      <c r="C79" s="777">
        <v>4221</v>
      </c>
      <c r="D79" s="774"/>
      <c r="E79" s="803"/>
    </row>
    <row r="80" spans="1:5" s="77" customFormat="1" ht="12">
      <c r="A80" s="788"/>
      <c r="B80" s="788"/>
      <c r="C80" s="779" t="s">
        <v>1567</v>
      </c>
      <c r="D80" s="822">
        <v>57000000</v>
      </c>
      <c r="E80" s="797"/>
    </row>
    <row r="81" spans="1:5" s="77" customFormat="1" ht="12">
      <c r="A81" s="788"/>
      <c r="B81" s="788"/>
      <c r="C81" s="779"/>
      <c r="D81" s="772">
        <v>42000000</v>
      </c>
      <c r="E81" s="797" t="s">
        <v>1568</v>
      </c>
    </row>
    <row r="82" spans="1:5" s="77" customFormat="1" ht="12">
      <c r="A82" s="788"/>
      <c r="B82" s="788"/>
      <c r="C82" s="779"/>
      <c r="D82" s="772">
        <v>15000000</v>
      </c>
      <c r="E82" s="797" t="s">
        <v>1569</v>
      </c>
    </row>
    <row r="83" spans="1:5" s="77" customFormat="1" ht="12">
      <c r="A83" s="810"/>
      <c r="B83" s="810"/>
      <c r="C83" s="773">
        <v>4223</v>
      </c>
      <c r="D83" s="774"/>
      <c r="E83" s="803"/>
    </row>
    <row r="84" spans="1:5" s="77" customFormat="1" ht="12">
      <c r="A84" s="788"/>
      <c r="B84" s="788"/>
      <c r="C84" s="779" t="s">
        <v>1570</v>
      </c>
      <c r="D84" s="772">
        <v>36800000</v>
      </c>
      <c r="E84" s="797"/>
    </row>
    <row r="85" spans="1:5" s="77" customFormat="1" ht="14.25" customHeight="1">
      <c r="A85" s="788"/>
      <c r="B85" s="788"/>
      <c r="C85" s="779"/>
      <c r="D85" s="772">
        <v>4000000</v>
      </c>
      <c r="E85" s="797" t="s">
        <v>1571</v>
      </c>
    </row>
    <row r="86" spans="1:5" s="77" customFormat="1" ht="14.25" customHeight="1">
      <c r="A86" s="788"/>
      <c r="B86" s="788"/>
      <c r="C86" s="779"/>
      <c r="D86" s="772">
        <v>7500000</v>
      </c>
      <c r="E86" s="797" t="s">
        <v>1572</v>
      </c>
    </row>
    <row r="87" spans="1:5" s="77" customFormat="1" ht="12">
      <c r="A87" s="788"/>
      <c r="B87" s="788"/>
      <c r="C87" s="779"/>
      <c r="D87" s="772">
        <v>15000000</v>
      </c>
      <c r="E87" s="797" t="s">
        <v>1573</v>
      </c>
    </row>
    <row r="88" spans="1:5" s="77" customFormat="1" ht="12">
      <c r="A88" s="788"/>
      <c r="B88" s="788"/>
      <c r="C88" s="779"/>
      <c r="D88" s="772">
        <v>3000000</v>
      </c>
      <c r="E88" s="797" t="s">
        <v>1574</v>
      </c>
    </row>
    <row r="89" spans="1:5" s="77" customFormat="1" ht="12">
      <c r="A89" s="788"/>
      <c r="B89" s="788"/>
      <c r="C89" s="779"/>
      <c r="D89" s="772">
        <v>4000000</v>
      </c>
      <c r="E89" s="797" t="s">
        <v>1575</v>
      </c>
    </row>
    <row r="90" spans="1:5" s="77" customFormat="1" ht="12">
      <c r="A90" s="788"/>
      <c r="B90" s="788"/>
      <c r="C90" s="779"/>
      <c r="D90" s="772">
        <v>3300000</v>
      </c>
      <c r="E90" s="797" t="s">
        <v>1576</v>
      </c>
    </row>
    <row r="91" spans="1:5" s="77" customFormat="1" ht="12">
      <c r="A91" s="810"/>
      <c r="B91" s="810"/>
      <c r="C91" s="773">
        <v>4224</v>
      </c>
      <c r="D91" s="774"/>
      <c r="E91" s="803"/>
    </row>
    <row r="92" spans="1:5" s="77" customFormat="1" ht="12">
      <c r="A92" s="788"/>
      <c r="B92" s="788"/>
      <c r="C92" s="779" t="s">
        <v>1577</v>
      </c>
      <c r="D92" s="823">
        <v>18000000</v>
      </c>
      <c r="E92" s="797"/>
    </row>
    <row r="93" spans="1:5" s="77" customFormat="1" ht="12">
      <c r="A93" s="788"/>
      <c r="B93" s="788"/>
      <c r="C93" s="779"/>
      <c r="D93" s="823">
        <v>12000000</v>
      </c>
      <c r="E93" s="824" t="s">
        <v>1578</v>
      </c>
    </row>
    <row r="94" spans="1:5" s="77" customFormat="1" ht="12">
      <c r="A94" s="788"/>
      <c r="B94" s="788"/>
      <c r="C94" s="779"/>
      <c r="D94" s="823">
        <v>6000000</v>
      </c>
      <c r="E94" s="824" t="s">
        <v>1579</v>
      </c>
    </row>
    <row r="95" spans="1:5" s="77" customFormat="1" ht="12">
      <c r="A95" s="810"/>
      <c r="B95" s="810"/>
      <c r="C95" s="773">
        <v>4225</v>
      </c>
      <c r="D95" s="825"/>
      <c r="E95" s="843"/>
    </row>
    <row r="96" spans="1:5" s="77" customFormat="1" ht="12">
      <c r="A96" s="788"/>
      <c r="B96" s="788"/>
      <c r="C96" s="779" t="s">
        <v>1580</v>
      </c>
      <c r="D96" s="794">
        <v>32000000</v>
      </c>
      <c r="E96" s="797"/>
    </row>
    <row r="97" spans="1:5" s="77" customFormat="1" ht="12">
      <c r="A97" s="788"/>
      <c r="B97" s="788"/>
      <c r="C97" s="779"/>
      <c r="D97" s="794">
        <v>32000000</v>
      </c>
      <c r="E97" s="824" t="s">
        <v>1581</v>
      </c>
    </row>
    <row r="98" spans="1:5" s="77" customFormat="1" ht="12">
      <c r="A98" s="810"/>
      <c r="B98" s="810"/>
      <c r="C98" s="773">
        <v>4226</v>
      </c>
      <c r="D98" s="825"/>
      <c r="E98" s="803"/>
    </row>
    <row r="99" spans="1:5" s="77" customFormat="1" ht="12">
      <c r="A99" s="788"/>
      <c r="B99" s="788"/>
      <c r="C99" s="779" t="s">
        <v>1582</v>
      </c>
      <c r="D99" s="794">
        <v>87000000</v>
      </c>
      <c r="E99" s="797"/>
    </row>
    <row r="100" spans="1:5" s="77" customFormat="1" ht="12">
      <c r="A100" s="788"/>
      <c r="B100" s="788"/>
      <c r="C100" s="779"/>
      <c r="D100" s="794">
        <v>79000000</v>
      </c>
      <c r="E100" s="824" t="s">
        <v>1583</v>
      </c>
    </row>
    <row r="101" spans="1:5" s="77" customFormat="1" ht="12">
      <c r="A101" s="788"/>
      <c r="B101" s="788"/>
      <c r="C101" s="779"/>
      <c r="D101" s="794">
        <v>8000000</v>
      </c>
      <c r="E101" s="824" t="s">
        <v>1584</v>
      </c>
    </row>
    <row r="102" spans="1:5" s="77" customFormat="1" ht="12">
      <c r="A102" s="810"/>
      <c r="B102" s="810"/>
      <c r="C102" s="773">
        <v>4227</v>
      </c>
      <c r="D102" s="774"/>
      <c r="E102" s="803"/>
    </row>
    <row r="103" spans="1:5" s="77" customFormat="1" ht="12">
      <c r="A103" s="788"/>
      <c r="B103" s="788"/>
      <c r="C103" s="779" t="s">
        <v>1585</v>
      </c>
      <c r="D103" s="772">
        <v>12100000</v>
      </c>
      <c r="E103" s="797"/>
    </row>
    <row r="104" spans="1:5" s="77" customFormat="1" ht="12">
      <c r="A104" s="788"/>
      <c r="B104" s="788"/>
      <c r="C104" s="779"/>
      <c r="D104" s="772">
        <v>8300000</v>
      </c>
      <c r="E104" s="824" t="s">
        <v>1586</v>
      </c>
    </row>
    <row r="105" spans="1:5" s="77" customFormat="1" ht="12">
      <c r="A105" s="788"/>
      <c r="B105" s="788"/>
      <c r="C105" s="779"/>
      <c r="D105" s="809">
        <v>3800000</v>
      </c>
      <c r="E105" s="824" t="s">
        <v>239</v>
      </c>
    </row>
    <row r="106" spans="1:5" s="77" customFormat="1" ht="12">
      <c r="A106" s="810"/>
      <c r="B106" s="810"/>
      <c r="C106" s="773">
        <v>4228</v>
      </c>
      <c r="D106" s="774"/>
      <c r="E106" s="803"/>
    </row>
    <row r="107" spans="1:5" s="77" customFormat="1" ht="12">
      <c r="A107" s="788"/>
      <c r="B107" s="788"/>
      <c r="C107" s="779" t="s">
        <v>1587</v>
      </c>
      <c r="D107" s="772">
        <v>1500000</v>
      </c>
      <c r="E107" s="797"/>
    </row>
    <row r="108" spans="1:5" s="77" customFormat="1" ht="12">
      <c r="A108" s="788"/>
      <c r="B108" s="788"/>
      <c r="C108" s="779"/>
      <c r="D108" s="772">
        <v>1500000</v>
      </c>
      <c r="E108" s="824" t="s">
        <v>241</v>
      </c>
    </row>
    <row r="109" spans="1:5" s="77" customFormat="1" ht="12">
      <c r="A109" s="810"/>
      <c r="B109" s="810"/>
      <c r="C109" s="773">
        <v>4229</v>
      </c>
      <c r="D109" s="774"/>
      <c r="E109" s="803"/>
    </row>
    <row r="110" spans="1:5" s="77" customFormat="1" ht="12">
      <c r="A110" s="788"/>
      <c r="B110" s="788"/>
      <c r="C110" s="779" t="s">
        <v>1588</v>
      </c>
      <c r="D110" s="822">
        <v>47000000</v>
      </c>
      <c r="E110" s="797"/>
    </row>
    <row r="111" spans="1:5" s="77" customFormat="1" ht="12">
      <c r="A111" s="789"/>
      <c r="B111" s="789"/>
      <c r="C111" s="771"/>
      <c r="D111" s="841">
        <v>21900000</v>
      </c>
      <c r="E111" s="844" t="s">
        <v>1589</v>
      </c>
    </row>
    <row r="112" spans="1:5" s="77" customFormat="1" ht="12">
      <c r="A112" s="788"/>
      <c r="B112" s="788"/>
      <c r="C112" s="779"/>
      <c r="D112" s="823">
        <v>25000000</v>
      </c>
      <c r="E112" s="843" t="s">
        <v>1590</v>
      </c>
    </row>
    <row r="113" spans="1:5" s="77" customFormat="1" ht="12">
      <c r="A113" s="788"/>
      <c r="B113" s="788"/>
      <c r="C113" s="779"/>
      <c r="D113" s="823">
        <v>100000</v>
      </c>
      <c r="E113" s="824" t="s">
        <v>1591</v>
      </c>
    </row>
    <row r="114" spans="1:5" s="77" customFormat="1" ht="12">
      <c r="A114" s="810"/>
      <c r="B114" s="811">
        <v>4230</v>
      </c>
      <c r="C114" s="773"/>
      <c r="D114" s="774"/>
      <c r="E114" s="803"/>
    </row>
    <row r="115" spans="1:5" s="77" customFormat="1" ht="12">
      <c r="A115" s="788"/>
      <c r="B115" s="813" t="s">
        <v>1592</v>
      </c>
      <c r="C115" s="776"/>
      <c r="D115" s="770">
        <v>823220000</v>
      </c>
      <c r="E115" s="798"/>
    </row>
    <row r="116" spans="1:5" s="77" customFormat="1" ht="12">
      <c r="A116" s="810"/>
      <c r="B116" s="788"/>
      <c r="C116" s="796">
        <v>4231</v>
      </c>
      <c r="D116" s="790"/>
      <c r="E116" s="804"/>
    </row>
    <row r="117" spans="1:5" s="77" customFormat="1" ht="12">
      <c r="A117" s="788"/>
      <c r="B117" s="788"/>
      <c r="C117" s="779" t="s">
        <v>1469</v>
      </c>
      <c r="D117" s="772">
        <v>16300000</v>
      </c>
      <c r="E117" s="797"/>
    </row>
    <row r="118" spans="1:5" s="77" customFormat="1" ht="12">
      <c r="A118" s="788"/>
      <c r="B118" s="788"/>
      <c r="C118" s="779"/>
      <c r="D118" s="772">
        <v>3000000</v>
      </c>
      <c r="E118" s="797" t="s">
        <v>1593</v>
      </c>
    </row>
    <row r="119" spans="1:5" s="77" customFormat="1" ht="12">
      <c r="A119" s="788"/>
      <c r="B119" s="788"/>
      <c r="C119" s="779"/>
      <c r="D119" s="772">
        <v>10000000</v>
      </c>
      <c r="E119" s="797" t="s">
        <v>1594</v>
      </c>
    </row>
    <row r="120" spans="1:5" s="77" customFormat="1" ht="12">
      <c r="A120" s="788"/>
      <c r="B120" s="788"/>
      <c r="C120" s="779"/>
      <c r="D120" s="772">
        <v>3300000</v>
      </c>
      <c r="E120" s="797" t="s">
        <v>1595</v>
      </c>
    </row>
    <row r="121" spans="1:5" s="77" customFormat="1" ht="12">
      <c r="A121" s="788"/>
      <c r="B121" s="788"/>
      <c r="C121" s="773">
        <v>4234</v>
      </c>
      <c r="D121" s="774"/>
      <c r="E121" s="803"/>
    </row>
    <row r="122" spans="1:5" s="77" customFormat="1" ht="12">
      <c r="A122" s="788"/>
      <c r="B122" s="788"/>
      <c r="C122" s="779" t="s">
        <v>1596</v>
      </c>
      <c r="D122" s="772">
        <v>41200000</v>
      </c>
      <c r="E122" s="797"/>
    </row>
    <row r="123" spans="1:5" s="77" customFormat="1" ht="12">
      <c r="A123" s="788"/>
      <c r="B123" s="788"/>
      <c r="C123" s="779"/>
      <c r="D123" s="772">
        <v>41200000</v>
      </c>
      <c r="E123" s="797" t="s">
        <v>1597</v>
      </c>
    </row>
    <row r="124" spans="1:5" s="77" customFormat="1" ht="12">
      <c r="A124" s="788"/>
      <c r="B124" s="788"/>
      <c r="C124" s="773">
        <v>4235</v>
      </c>
      <c r="D124" s="774"/>
      <c r="E124" s="803"/>
    </row>
    <row r="125" spans="1:5" s="77" customFormat="1" ht="12">
      <c r="A125" s="788"/>
      <c r="B125" s="788"/>
      <c r="C125" s="779" t="s">
        <v>1598</v>
      </c>
      <c r="D125" s="772">
        <v>147000000</v>
      </c>
      <c r="E125" s="797"/>
    </row>
    <row r="126" spans="1:5" s="77" customFormat="1" ht="13.5" customHeight="1">
      <c r="A126" s="788"/>
      <c r="B126" s="788"/>
      <c r="C126" s="779"/>
      <c r="D126" s="772">
        <v>80000000</v>
      </c>
      <c r="E126" s="797" t="s">
        <v>1599</v>
      </c>
    </row>
    <row r="127" spans="1:5" s="77" customFormat="1" ht="12">
      <c r="A127" s="788"/>
      <c r="B127" s="788"/>
      <c r="C127" s="779"/>
      <c r="D127" s="772">
        <v>8000000</v>
      </c>
      <c r="E127" s="797" t="s">
        <v>1600</v>
      </c>
    </row>
    <row r="128" spans="1:5" s="77" customFormat="1" ht="12">
      <c r="A128" s="788"/>
      <c r="B128" s="788"/>
      <c r="C128" s="779"/>
      <c r="D128" s="772">
        <v>15000000</v>
      </c>
      <c r="E128" s="797" t="s">
        <v>1601</v>
      </c>
    </row>
    <row r="129" spans="1:5" s="77" customFormat="1" ht="12">
      <c r="A129" s="788"/>
      <c r="B129" s="788"/>
      <c r="C129" s="779"/>
      <c r="D129" s="772">
        <v>31000000</v>
      </c>
      <c r="E129" s="797" t="s">
        <v>1602</v>
      </c>
    </row>
    <row r="130" spans="1:5" s="77" customFormat="1" ht="12">
      <c r="A130" s="788"/>
      <c r="B130" s="788"/>
      <c r="C130" s="779"/>
      <c r="D130" s="772">
        <v>13000000</v>
      </c>
      <c r="E130" s="797" t="s">
        <v>1603</v>
      </c>
    </row>
    <row r="131" spans="1:5" s="77" customFormat="1" ht="12">
      <c r="A131" s="788"/>
      <c r="B131" s="788"/>
      <c r="C131" s="773">
        <v>4236</v>
      </c>
      <c r="D131" s="774"/>
      <c r="E131" s="803"/>
    </row>
    <row r="132" spans="1:5" s="77" customFormat="1" ht="12">
      <c r="A132" s="788"/>
      <c r="B132" s="788"/>
      <c r="C132" s="779" t="s">
        <v>1604</v>
      </c>
      <c r="D132" s="772">
        <v>14000000</v>
      </c>
      <c r="E132" s="797"/>
    </row>
    <row r="133" spans="1:5" s="77" customFormat="1" ht="12">
      <c r="A133" s="788"/>
      <c r="B133" s="788"/>
      <c r="C133" s="779"/>
      <c r="D133" s="772">
        <v>14000000</v>
      </c>
      <c r="E133" s="797" t="s">
        <v>1605</v>
      </c>
    </row>
    <row r="134" spans="1:5" s="77" customFormat="1" ht="12">
      <c r="A134" s="788"/>
      <c r="B134" s="788"/>
      <c r="C134" s="773">
        <v>4239</v>
      </c>
      <c r="D134" s="774"/>
      <c r="E134" s="803"/>
    </row>
    <row r="135" spans="1:5" s="77" customFormat="1" ht="12">
      <c r="A135" s="788"/>
      <c r="B135" s="788"/>
      <c r="C135" s="779" t="s">
        <v>1606</v>
      </c>
      <c r="D135" s="772">
        <v>604720000</v>
      </c>
      <c r="E135" s="797"/>
    </row>
    <row r="136" spans="1:5" s="77" customFormat="1" ht="12">
      <c r="A136" s="788"/>
      <c r="B136" s="788"/>
      <c r="C136" s="779"/>
      <c r="D136" s="772">
        <v>54000000</v>
      </c>
      <c r="E136" s="797" t="s">
        <v>1607</v>
      </c>
    </row>
    <row r="137" spans="1:5" s="77" customFormat="1" ht="12">
      <c r="A137" s="788"/>
      <c r="B137" s="788"/>
      <c r="C137" s="779"/>
      <c r="D137" s="809">
        <v>150000000</v>
      </c>
      <c r="E137" s="797" t="s">
        <v>1608</v>
      </c>
    </row>
    <row r="138" spans="1:5" s="77" customFormat="1" ht="12">
      <c r="A138" s="788"/>
      <c r="B138" s="788"/>
      <c r="C138" s="779"/>
      <c r="D138" s="809">
        <v>90000000</v>
      </c>
      <c r="E138" s="797" t="s">
        <v>1609</v>
      </c>
    </row>
    <row r="139" spans="1:5" s="77" customFormat="1" ht="12">
      <c r="A139" s="788"/>
      <c r="B139" s="788"/>
      <c r="C139" s="779"/>
      <c r="D139" s="809">
        <v>120000000</v>
      </c>
      <c r="E139" s="797" t="s">
        <v>1610</v>
      </c>
    </row>
    <row r="140" spans="1:5" s="77" customFormat="1" ht="12">
      <c r="A140" s="788"/>
      <c r="B140" s="788"/>
      <c r="C140" s="779"/>
      <c r="D140" s="809">
        <v>135720000</v>
      </c>
      <c r="E140" s="797" t="s">
        <v>1611</v>
      </c>
    </row>
    <row r="141" spans="1:5" s="77" customFormat="1" ht="12">
      <c r="A141" s="788"/>
      <c r="B141" s="788"/>
      <c r="C141" s="779"/>
      <c r="D141" s="772">
        <v>55000000</v>
      </c>
      <c r="E141" s="797" t="s">
        <v>1612</v>
      </c>
    </row>
    <row r="142" spans="1:5" s="77" customFormat="1" ht="12">
      <c r="A142" s="811">
        <v>4300</v>
      </c>
      <c r="B142" s="811"/>
      <c r="C142" s="773"/>
      <c r="D142" s="774"/>
      <c r="E142" s="803"/>
    </row>
    <row r="143" spans="1:5" s="77" customFormat="1" ht="12">
      <c r="A143" s="813" t="s">
        <v>1613</v>
      </c>
      <c r="B143" s="795"/>
      <c r="C143" s="771"/>
      <c r="D143" s="770">
        <v>417000000</v>
      </c>
      <c r="E143" s="798"/>
    </row>
    <row r="144" spans="1:5" s="77" customFormat="1" ht="12">
      <c r="A144" s="788"/>
      <c r="B144" s="783">
        <v>4310</v>
      </c>
      <c r="C144" s="773"/>
      <c r="D144" s="774"/>
      <c r="E144" s="803"/>
    </row>
    <row r="145" spans="1:5" s="77" customFormat="1" ht="12">
      <c r="A145" s="788"/>
      <c r="B145" s="813" t="s">
        <v>1614</v>
      </c>
      <c r="C145" s="771"/>
      <c r="D145" s="770">
        <v>235000000</v>
      </c>
      <c r="E145" s="798"/>
    </row>
    <row r="146" spans="1:5" s="77" customFormat="1" ht="12">
      <c r="A146" s="788"/>
      <c r="B146" s="788"/>
      <c r="C146" s="773">
        <v>4311</v>
      </c>
      <c r="D146" s="774"/>
      <c r="E146" s="803"/>
    </row>
    <row r="147" spans="1:5" s="77" customFormat="1" ht="12">
      <c r="A147" s="788"/>
      <c r="B147" s="792"/>
      <c r="C147" s="779" t="s">
        <v>1614</v>
      </c>
      <c r="D147" s="772">
        <v>235000000</v>
      </c>
      <c r="E147" s="797"/>
    </row>
    <row r="148" spans="1:5" s="77" customFormat="1" ht="12">
      <c r="A148" s="788"/>
      <c r="B148" s="792"/>
      <c r="C148" s="779"/>
      <c r="D148" s="772">
        <v>50000000</v>
      </c>
      <c r="E148" s="797" t="s">
        <v>1615</v>
      </c>
    </row>
    <row r="149" spans="1:5" s="77" customFormat="1" ht="12">
      <c r="A149" s="789"/>
      <c r="B149" s="793"/>
      <c r="C149" s="771"/>
      <c r="D149" s="770">
        <v>75000000</v>
      </c>
      <c r="E149" s="798" t="s">
        <v>1616</v>
      </c>
    </row>
    <row r="150" spans="1:5" s="77" customFormat="1" ht="12">
      <c r="A150" s="788"/>
      <c r="B150" s="792"/>
      <c r="C150" s="779"/>
      <c r="D150" s="772">
        <v>65000000</v>
      </c>
      <c r="E150" s="797" t="s">
        <v>1617</v>
      </c>
    </row>
    <row r="151" spans="1:5" s="77" customFormat="1" ht="12">
      <c r="A151" s="788"/>
      <c r="B151" s="792"/>
      <c r="C151" s="779"/>
      <c r="D151" s="772">
        <v>30000000</v>
      </c>
      <c r="E151" s="797" t="s">
        <v>1618</v>
      </c>
    </row>
    <row r="152" spans="1:5" s="77" customFormat="1" ht="12">
      <c r="A152" s="788"/>
      <c r="B152" s="792"/>
      <c r="C152" s="779"/>
      <c r="D152" s="772">
        <v>15000000</v>
      </c>
      <c r="E152" s="797" t="s">
        <v>1619</v>
      </c>
    </row>
    <row r="153" spans="1:5" s="77" customFormat="1" ht="12">
      <c r="A153" s="788"/>
      <c r="B153" s="783">
        <v>4320</v>
      </c>
      <c r="C153" s="773"/>
      <c r="D153" s="774"/>
      <c r="E153" s="803"/>
    </row>
    <row r="154" spans="1:5" s="77" customFormat="1" ht="12">
      <c r="A154" s="788"/>
      <c r="B154" s="813" t="s">
        <v>1620</v>
      </c>
      <c r="C154" s="771"/>
      <c r="D154" s="770">
        <v>182000000</v>
      </c>
      <c r="E154" s="798"/>
    </row>
    <row r="155" spans="1:5" s="77" customFormat="1" ht="12">
      <c r="A155" s="788"/>
      <c r="B155" s="788"/>
      <c r="C155" s="773">
        <v>4325</v>
      </c>
      <c r="D155" s="774"/>
      <c r="E155" s="803"/>
    </row>
    <row r="156" spans="1:5" s="77" customFormat="1" ht="12">
      <c r="A156" s="788"/>
      <c r="B156" s="788"/>
      <c r="C156" s="771" t="s">
        <v>1621</v>
      </c>
      <c r="D156" s="770">
        <v>175000000</v>
      </c>
      <c r="E156" s="798"/>
    </row>
    <row r="157" spans="1:5" s="77" customFormat="1" ht="12">
      <c r="A157" s="788"/>
      <c r="B157" s="788"/>
      <c r="C157" s="775"/>
      <c r="D157" s="769">
        <v>40000000</v>
      </c>
      <c r="E157" s="802" t="s">
        <v>1622</v>
      </c>
    </row>
    <row r="158" spans="1:5" s="77" customFormat="1" ht="12">
      <c r="A158" s="788"/>
      <c r="B158" s="788"/>
      <c r="C158" s="779"/>
      <c r="D158" s="772">
        <v>60000000</v>
      </c>
      <c r="E158" s="797" t="s">
        <v>1623</v>
      </c>
    </row>
    <row r="159" spans="1:5" s="77" customFormat="1" ht="12">
      <c r="A159" s="788"/>
      <c r="B159" s="788"/>
      <c r="C159" s="779"/>
      <c r="D159" s="772">
        <v>75000000</v>
      </c>
      <c r="E159" s="797" t="s">
        <v>1624</v>
      </c>
    </row>
    <row r="160" spans="1:5" s="77" customFormat="1" ht="12">
      <c r="A160" s="810"/>
      <c r="B160" s="810"/>
      <c r="C160" s="773">
        <v>4329</v>
      </c>
      <c r="D160" s="774"/>
      <c r="E160" s="803"/>
    </row>
    <row r="161" spans="1:5" s="77" customFormat="1" ht="12">
      <c r="A161" s="788"/>
      <c r="B161" s="788"/>
      <c r="C161" s="771" t="s">
        <v>1625</v>
      </c>
      <c r="D161" s="770">
        <v>7000000</v>
      </c>
      <c r="E161" s="798"/>
    </row>
    <row r="162" spans="1:5" s="77" customFormat="1" ht="12">
      <c r="A162" s="788"/>
      <c r="B162" s="788"/>
      <c r="C162" s="775"/>
      <c r="D162" s="769">
        <v>3000000</v>
      </c>
      <c r="E162" s="802" t="s">
        <v>1626</v>
      </c>
    </row>
    <row r="163" spans="1:5" s="77" customFormat="1" ht="12">
      <c r="A163" s="788"/>
      <c r="B163" s="788"/>
      <c r="C163" s="779"/>
      <c r="D163" s="772">
        <v>4000000</v>
      </c>
      <c r="E163" s="797" t="s">
        <v>1625</v>
      </c>
    </row>
    <row r="164" spans="1:5" s="77" customFormat="1" ht="12">
      <c r="A164" s="788"/>
      <c r="B164" s="811">
        <v>4420</v>
      </c>
      <c r="C164" s="773"/>
      <c r="D164" s="791"/>
      <c r="E164" s="806"/>
    </row>
    <row r="165" spans="1:5" s="77" customFormat="1" ht="12">
      <c r="A165" s="788"/>
      <c r="B165" s="813" t="s">
        <v>1627</v>
      </c>
      <c r="C165" s="776"/>
      <c r="D165" s="770">
        <v>4800000</v>
      </c>
      <c r="E165" s="798"/>
    </row>
    <row r="166" spans="1:5" s="77" customFormat="1" ht="12">
      <c r="A166" s="788"/>
      <c r="B166" s="788"/>
      <c r="C166" s="777">
        <v>4421</v>
      </c>
      <c r="D166" s="774"/>
      <c r="E166" s="803"/>
    </row>
    <row r="167" spans="1:5" s="77" customFormat="1" ht="12">
      <c r="A167" s="788"/>
      <c r="B167" s="788"/>
      <c r="C167" s="779" t="s">
        <v>1628</v>
      </c>
      <c r="D167" s="772">
        <v>4800000</v>
      </c>
      <c r="E167" s="797"/>
    </row>
    <row r="168" spans="1:5" s="77" customFormat="1" ht="12">
      <c r="A168" s="789"/>
      <c r="B168" s="789"/>
      <c r="C168" s="771"/>
      <c r="D168" s="770">
        <v>4800000</v>
      </c>
      <c r="E168" s="798" t="s">
        <v>1628</v>
      </c>
    </row>
    <row r="169" spans="1:5" s="77" customFormat="1" ht="12">
      <c r="A169" s="811">
        <v>4500</v>
      </c>
      <c r="B169" s="811"/>
      <c r="C169" s="773"/>
      <c r="D169" s="791"/>
      <c r="E169" s="806"/>
    </row>
    <row r="170" spans="1:5" s="77" customFormat="1" ht="12">
      <c r="A170" s="813" t="s">
        <v>1629</v>
      </c>
      <c r="B170" s="814"/>
      <c r="C170" s="771"/>
      <c r="D170" s="781">
        <v>1955700000</v>
      </c>
      <c r="E170" s="805"/>
    </row>
    <row r="171" spans="1:5" s="77" customFormat="1" ht="12">
      <c r="A171" s="788"/>
      <c r="B171" s="811">
        <v>4510</v>
      </c>
      <c r="C171" s="773"/>
      <c r="D171" s="791"/>
      <c r="E171" s="806"/>
    </row>
    <row r="172" spans="1:5" s="77" customFormat="1" ht="12">
      <c r="A172" s="788"/>
      <c r="B172" s="813" t="s">
        <v>1629</v>
      </c>
      <c r="C172" s="771"/>
      <c r="D172" s="781">
        <v>1955700000</v>
      </c>
      <c r="E172" s="805"/>
    </row>
    <row r="173" spans="1:5" s="77" customFormat="1" ht="12">
      <c r="A173" s="788"/>
      <c r="B173" s="788"/>
      <c r="C173" s="773">
        <v>4516</v>
      </c>
      <c r="D173" s="791"/>
      <c r="E173" s="806"/>
    </row>
    <row r="174" spans="1:5" s="77" customFormat="1" ht="12">
      <c r="A174" s="788"/>
      <c r="B174" s="788"/>
      <c r="C174" s="779" t="s">
        <v>1630</v>
      </c>
      <c r="D174" s="786">
        <v>1955700000</v>
      </c>
      <c r="E174" s="801"/>
    </row>
    <row r="175" spans="1:5" s="77" customFormat="1" ht="12">
      <c r="A175" s="788"/>
      <c r="B175" s="788"/>
      <c r="C175" s="779"/>
      <c r="D175" s="786">
        <v>1955700000</v>
      </c>
      <c r="E175" s="801" t="s">
        <v>1630</v>
      </c>
    </row>
    <row r="176" spans="1:5" s="77" customFormat="1" ht="12">
      <c r="A176" s="811">
        <v>4600</v>
      </c>
      <c r="B176" s="811"/>
      <c r="C176" s="773"/>
      <c r="D176" s="791"/>
      <c r="E176" s="806"/>
    </row>
    <row r="177" spans="1:5" s="77" customFormat="1" ht="12">
      <c r="A177" s="812" t="s">
        <v>1631</v>
      </c>
      <c r="B177" s="814"/>
      <c r="C177" s="771"/>
      <c r="D177" s="781">
        <v>1322360000</v>
      </c>
      <c r="E177" s="805"/>
    </row>
    <row r="178" spans="1:5" s="77" customFormat="1" ht="12">
      <c r="A178" s="792"/>
      <c r="B178" s="811">
        <v>4610</v>
      </c>
      <c r="C178" s="773"/>
      <c r="D178" s="791"/>
      <c r="E178" s="806"/>
    </row>
    <row r="179" spans="1:5" s="77" customFormat="1" ht="12">
      <c r="A179" s="788"/>
      <c r="B179" s="813" t="s">
        <v>1631</v>
      </c>
      <c r="C179" s="771"/>
      <c r="D179" s="770">
        <v>1322360000</v>
      </c>
      <c r="E179" s="798"/>
    </row>
    <row r="180" spans="1:5" s="77" customFormat="1" ht="12">
      <c r="A180" s="810"/>
      <c r="B180" s="810"/>
      <c r="C180" s="773">
        <v>4611</v>
      </c>
      <c r="D180" s="774"/>
      <c r="E180" s="803"/>
    </row>
    <row r="181" spans="1:5" s="77" customFormat="1" ht="12">
      <c r="A181" s="788"/>
      <c r="B181" s="788"/>
      <c r="C181" s="779" t="s">
        <v>1631</v>
      </c>
      <c r="D181" s="786">
        <v>1322360000</v>
      </c>
      <c r="E181" s="801"/>
    </row>
    <row r="182" spans="1:5" s="77" customFormat="1" ht="12">
      <c r="A182" s="789"/>
      <c r="B182" s="789"/>
      <c r="C182" s="771"/>
      <c r="D182" s="781">
        <v>1322360000</v>
      </c>
      <c r="E182" s="805" t="s">
        <v>1631</v>
      </c>
    </row>
    <row r="183" spans="1:5" s="77" customFormat="1" ht="12" customHeight="1">
      <c r="A183" s="810">
        <v>1200</v>
      </c>
      <c r="B183" s="788"/>
      <c r="C183" s="779"/>
      <c r="D183" s="786"/>
      <c r="E183" s="801"/>
    </row>
    <row r="184" spans="1:5" s="77" customFormat="1" ht="12" customHeight="1">
      <c r="A184" s="788" t="s">
        <v>1632</v>
      </c>
      <c r="B184" s="788"/>
      <c r="C184" s="779"/>
      <c r="D184" s="786">
        <v>50000000</v>
      </c>
      <c r="E184" s="801"/>
    </row>
    <row r="185" spans="1:5" s="77" customFormat="1" ht="12" customHeight="1">
      <c r="A185" s="788"/>
      <c r="B185" s="811">
        <v>1240</v>
      </c>
      <c r="C185" s="775"/>
      <c r="D185" s="780"/>
      <c r="E185" s="807"/>
    </row>
    <row r="186" spans="1:5" s="77" customFormat="1" ht="12" customHeight="1">
      <c r="A186" s="788"/>
      <c r="B186" s="813" t="s">
        <v>1147</v>
      </c>
      <c r="C186" s="779"/>
      <c r="D186" s="786">
        <v>10000000</v>
      </c>
      <c r="E186" s="801"/>
    </row>
    <row r="187" spans="1:5" s="77" customFormat="1" ht="12" customHeight="1">
      <c r="A187" s="789"/>
      <c r="B187" s="789"/>
      <c r="C187" s="56">
        <v>1242</v>
      </c>
      <c r="D187" s="845"/>
      <c r="E187" s="846"/>
    </row>
    <row r="188" spans="1:5" s="77" customFormat="1" ht="12" customHeight="1">
      <c r="A188" s="788"/>
      <c r="B188" s="788"/>
      <c r="C188" s="779" t="s">
        <v>1149</v>
      </c>
      <c r="D188" s="786">
        <v>10000000</v>
      </c>
      <c r="E188" s="801" t="s">
        <v>1633</v>
      </c>
    </row>
    <row r="189" spans="1:5" s="77" customFormat="1" ht="12" customHeight="1">
      <c r="A189" s="788"/>
      <c r="B189" s="811">
        <v>1260</v>
      </c>
      <c r="C189" s="775"/>
      <c r="D189" s="780"/>
      <c r="E189" s="807"/>
    </row>
    <row r="190" spans="1:5" s="77" customFormat="1" ht="12" customHeight="1">
      <c r="A190" s="788"/>
      <c r="B190" s="813" t="s">
        <v>1634</v>
      </c>
      <c r="C190" s="779"/>
      <c r="D190" s="786">
        <v>40000000</v>
      </c>
      <c r="E190" s="801"/>
    </row>
    <row r="191" spans="1:5" s="77" customFormat="1" ht="12" customHeight="1">
      <c r="A191" s="788"/>
      <c r="B191" s="788"/>
      <c r="C191" s="773">
        <v>1266</v>
      </c>
      <c r="D191" s="780"/>
      <c r="E191" s="807"/>
    </row>
    <row r="192" spans="1:5" s="77" customFormat="1" ht="12" customHeight="1">
      <c r="A192" s="788"/>
      <c r="B192" s="788"/>
      <c r="C192" s="779" t="s">
        <v>1635</v>
      </c>
      <c r="D192" s="786">
        <v>40000000</v>
      </c>
      <c r="E192" s="801" t="s">
        <v>1636</v>
      </c>
    </row>
    <row r="193" spans="1:5" s="77" customFormat="1" ht="12" customHeight="1">
      <c r="A193" s="811">
        <v>1300</v>
      </c>
      <c r="B193" s="811"/>
      <c r="C193" s="773"/>
      <c r="D193" s="778"/>
      <c r="E193" s="808"/>
    </row>
    <row r="194" spans="1:5" s="77" customFormat="1" ht="12" customHeight="1">
      <c r="A194" s="813" t="s">
        <v>1637</v>
      </c>
      <c r="B194" s="814"/>
      <c r="C194" s="771"/>
      <c r="D194" s="770">
        <v>262000000</v>
      </c>
      <c r="E194" s="798"/>
    </row>
    <row r="195" spans="1:5" s="77" customFormat="1" ht="12" customHeight="1">
      <c r="A195" s="810"/>
      <c r="B195" s="810">
        <v>1310</v>
      </c>
      <c r="C195" s="773"/>
      <c r="D195" s="774"/>
      <c r="E195" s="803"/>
    </row>
    <row r="196" spans="1:5" s="77" customFormat="1" ht="12" customHeight="1">
      <c r="A196" s="812"/>
      <c r="B196" s="826" t="s">
        <v>1638</v>
      </c>
      <c r="C196" s="771"/>
      <c r="D196" s="770">
        <v>262000000</v>
      </c>
      <c r="E196" s="798"/>
    </row>
    <row r="197" spans="1:5" s="77" customFormat="1" ht="12">
      <c r="A197" s="785"/>
      <c r="B197" s="810"/>
      <c r="C197" s="773">
        <v>1314</v>
      </c>
      <c r="D197" s="774"/>
      <c r="E197" s="803"/>
    </row>
    <row r="198" spans="1:5" s="77" customFormat="1" ht="12">
      <c r="A198" s="792"/>
      <c r="B198" s="788"/>
      <c r="C198" s="779" t="s">
        <v>1639</v>
      </c>
      <c r="D198" s="772">
        <v>154000000</v>
      </c>
      <c r="E198" s="797"/>
    </row>
    <row r="199" spans="1:5" s="77" customFormat="1" ht="12">
      <c r="A199" s="792"/>
      <c r="B199" s="788"/>
      <c r="C199" s="779"/>
      <c r="D199" s="772">
        <v>32000000</v>
      </c>
      <c r="E199" s="797" t="s">
        <v>1640</v>
      </c>
    </row>
    <row r="200" spans="1:5" s="77" customFormat="1" ht="12">
      <c r="A200" s="792"/>
      <c r="B200" s="788"/>
      <c r="C200" s="779"/>
      <c r="D200" s="772">
        <v>122000000</v>
      </c>
      <c r="E200" s="797" t="s">
        <v>1641</v>
      </c>
    </row>
    <row r="201" spans="1:5" s="77" customFormat="1" ht="12">
      <c r="A201" s="785"/>
      <c r="B201" s="810"/>
      <c r="C201" s="773">
        <v>1315</v>
      </c>
      <c r="D201" s="774"/>
      <c r="E201" s="803"/>
    </row>
    <row r="202" spans="1:5" s="77" customFormat="1" ht="12">
      <c r="A202" s="792"/>
      <c r="B202" s="788"/>
      <c r="C202" s="779" t="s">
        <v>1642</v>
      </c>
      <c r="D202" s="772">
        <v>108000000</v>
      </c>
      <c r="E202" s="797"/>
    </row>
    <row r="203" spans="1:5" s="77" customFormat="1" ht="12">
      <c r="A203" s="792"/>
      <c r="B203" s="788"/>
      <c r="C203" s="779"/>
      <c r="D203" s="772">
        <v>11000000</v>
      </c>
      <c r="E203" s="797" t="s">
        <v>1643</v>
      </c>
    </row>
    <row r="204" spans="1:5" s="77" customFormat="1" ht="12">
      <c r="A204" s="792"/>
      <c r="B204" s="788"/>
      <c r="C204" s="771"/>
      <c r="D204" s="770">
        <v>97000000</v>
      </c>
      <c r="E204" s="798" t="s">
        <v>1644</v>
      </c>
    </row>
    <row r="205" spans="1:5" s="77" customFormat="1" ht="21" customHeight="1">
      <c r="A205" s="991" t="s">
        <v>1645</v>
      </c>
      <c r="B205" s="991"/>
      <c r="C205" s="991"/>
      <c r="D205" s="817">
        <v>7677180000</v>
      </c>
      <c r="E205" s="816"/>
    </row>
  </sheetData>
  <mergeCells count="7">
    <mergeCell ref="E4:E5"/>
    <mergeCell ref="A205:C205"/>
    <mergeCell ref="A1:E1"/>
    <mergeCell ref="A2:E2"/>
    <mergeCell ref="A3:E3"/>
    <mergeCell ref="A4:C4"/>
    <mergeCell ref="D4:D5"/>
  </mergeCells>
  <printOptions/>
  <pageMargins left="0.7086614173228347" right="0.7086614173228347" top="0.7480314960629921" bottom="0.5511811023622047" header="0.31496062992125984" footer="0.2755905511811024"/>
  <pageSetup horizontalDpi="600" verticalDpi="600" orientation="landscape" paperSize="9" r:id="rId2"/>
  <headerFooter>
    <oddHeader>&amp;L&amp;"새굴림,보통"&amp;9&lt;별지제2호서식&gt;</oddHeader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6"/>
  <sheetViews>
    <sheetView workbookViewId="0" topLeftCell="A1">
      <selection activeCell="F18" sqref="F18"/>
    </sheetView>
  </sheetViews>
  <sheetFormatPr defaultColWidth="9.00390625" defaultRowHeight="14.25"/>
  <sheetData>
    <row r="9" spans="1:13" ht="61.5">
      <c r="A9" s="1208" t="s">
        <v>938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</row>
    <row r="10" spans="1:13" ht="14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4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4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14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ht="14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4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4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14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4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 ht="14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 ht="14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14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4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35.25">
      <c r="A23" s="1209"/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</row>
    <row r="24" spans="1:13" ht="14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4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4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</sheetData>
  <mergeCells count="2">
    <mergeCell ref="A9:M9"/>
    <mergeCell ref="A23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6"/>
  <sheetViews>
    <sheetView workbookViewId="0" topLeftCell="A1">
      <selection activeCell="P36" sqref="P36"/>
    </sheetView>
  </sheetViews>
  <sheetFormatPr defaultColWidth="9.00390625" defaultRowHeight="14.25"/>
  <sheetData>
    <row r="9" spans="1:13" ht="61.5">
      <c r="A9" s="1208" t="s">
        <v>776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</row>
    <row r="10" spans="1:13" ht="14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4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4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14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ht="14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4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4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14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4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 ht="14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 ht="14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14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4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35.25">
      <c r="A23" s="1209" t="s">
        <v>938</v>
      </c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</row>
    <row r="24" spans="1:13" ht="14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4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4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</sheetData>
  <mergeCells count="2">
    <mergeCell ref="A9:M9"/>
    <mergeCell ref="A23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>
      <selection activeCell="E23" sqref="E23:E27"/>
    </sheetView>
  </sheetViews>
  <sheetFormatPr defaultColWidth="9.25390625" defaultRowHeight="27" customHeight="1"/>
  <cols>
    <col min="1" max="1" width="15.375" style="69" customWidth="1"/>
    <col min="2" max="2" width="15.375" style="10" customWidth="1"/>
    <col min="3" max="3" width="15.625" style="10" customWidth="1"/>
    <col min="4" max="4" width="18.125" style="10" customWidth="1"/>
    <col min="5" max="5" width="20.125" style="10" customWidth="1"/>
    <col min="6" max="6" width="19.625" style="10" customWidth="1"/>
    <col min="7" max="7" width="18.375" style="10" customWidth="1"/>
    <col min="8" max="256" width="9.25390625" style="10" customWidth="1"/>
    <col min="257" max="257" width="18.625" style="10" customWidth="1"/>
    <col min="258" max="258" width="18.25390625" style="10" customWidth="1"/>
    <col min="259" max="259" width="20.375" style="10" customWidth="1"/>
    <col min="260" max="260" width="21.50390625" style="10" customWidth="1"/>
    <col min="261" max="261" width="20.125" style="10" customWidth="1"/>
    <col min="262" max="262" width="21.125" style="10" customWidth="1"/>
    <col min="263" max="263" width="18.375" style="10" customWidth="1"/>
    <col min="264" max="512" width="9.25390625" style="10" customWidth="1"/>
    <col min="513" max="513" width="18.625" style="10" customWidth="1"/>
    <col min="514" max="514" width="18.25390625" style="10" customWidth="1"/>
    <col min="515" max="515" width="20.375" style="10" customWidth="1"/>
    <col min="516" max="516" width="21.50390625" style="10" customWidth="1"/>
    <col min="517" max="517" width="20.125" style="10" customWidth="1"/>
    <col min="518" max="518" width="21.125" style="10" customWidth="1"/>
    <col min="519" max="519" width="18.375" style="10" customWidth="1"/>
    <col min="520" max="768" width="9.25390625" style="10" customWidth="1"/>
    <col min="769" max="769" width="18.625" style="10" customWidth="1"/>
    <col min="770" max="770" width="18.25390625" style="10" customWidth="1"/>
    <col min="771" max="771" width="20.375" style="10" customWidth="1"/>
    <col min="772" max="772" width="21.50390625" style="10" customWidth="1"/>
    <col min="773" max="773" width="20.125" style="10" customWidth="1"/>
    <col min="774" max="774" width="21.125" style="10" customWidth="1"/>
    <col min="775" max="775" width="18.375" style="10" customWidth="1"/>
    <col min="776" max="1024" width="9.25390625" style="10" customWidth="1"/>
    <col min="1025" max="1025" width="18.625" style="10" customWidth="1"/>
    <col min="1026" max="1026" width="18.25390625" style="10" customWidth="1"/>
    <col min="1027" max="1027" width="20.375" style="10" customWidth="1"/>
    <col min="1028" max="1028" width="21.50390625" style="10" customWidth="1"/>
    <col min="1029" max="1029" width="20.125" style="10" customWidth="1"/>
    <col min="1030" max="1030" width="21.125" style="10" customWidth="1"/>
    <col min="1031" max="1031" width="18.375" style="10" customWidth="1"/>
    <col min="1032" max="1280" width="9.25390625" style="10" customWidth="1"/>
    <col min="1281" max="1281" width="18.625" style="10" customWidth="1"/>
    <col min="1282" max="1282" width="18.25390625" style="10" customWidth="1"/>
    <col min="1283" max="1283" width="20.375" style="10" customWidth="1"/>
    <col min="1284" max="1284" width="21.50390625" style="10" customWidth="1"/>
    <col min="1285" max="1285" width="20.125" style="10" customWidth="1"/>
    <col min="1286" max="1286" width="21.125" style="10" customWidth="1"/>
    <col min="1287" max="1287" width="18.375" style="10" customWidth="1"/>
    <col min="1288" max="1536" width="9.25390625" style="10" customWidth="1"/>
    <col min="1537" max="1537" width="18.625" style="10" customWidth="1"/>
    <col min="1538" max="1538" width="18.25390625" style="10" customWidth="1"/>
    <col min="1539" max="1539" width="20.375" style="10" customWidth="1"/>
    <col min="1540" max="1540" width="21.50390625" style="10" customWidth="1"/>
    <col min="1541" max="1541" width="20.125" style="10" customWidth="1"/>
    <col min="1542" max="1542" width="21.125" style="10" customWidth="1"/>
    <col min="1543" max="1543" width="18.375" style="10" customWidth="1"/>
    <col min="1544" max="1792" width="9.25390625" style="10" customWidth="1"/>
    <col min="1793" max="1793" width="18.625" style="10" customWidth="1"/>
    <col min="1794" max="1794" width="18.25390625" style="10" customWidth="1"/>
    <col min="1795" max="1795" width="20.375" style="10" customWidth="1"/>
    <col min="1796" max="1796" width="21.50390625" style="10" customWidth="1"/>
    <col min="1797" max="1797" width="20.125" style="10" customWidth="1"/>
    <col min="1798" max="1798" width="21.125" style="10" customWidth="1"/>
    <col min="1799" max="1799" width="18.375" style="10" customWidth="1"/>
    <col min="1800" max="2048" width="9.25390625" style="10" customWidth="1"/>
    <col min="2049" max="2049" width="18.625" style="10" customWidth="1"/>
    <col min="2050" max="2050" width="18.25390625" style="10" customWidth="1"/>
    <col min="2051" max="2051" width="20.375" style="10" customWidth="1"/>
    <col min="2052" max="2052" width="21.50390625" style="10" customWidth="1"/>
    <col min="2053" max="2053" width="20.125" style="10" customWidth="1"/>
    <col min="2054" max="2054" width="21.125" style="10" customWidth="1"/>
    <col min="2055" max="2055" width="18.375" style="10" customWidth="1"/>
    <col min="2056" max="2304" width="9.25390625" style="10" customWidth="1"/>
    <col min="2305" max="2305" width="18.625" style="10" customWidth="1"/>
    <col min="2306" max="2306" width="18.25390625" style="10" customWidth="1"/>
    <col min="2307" max="2307" width="20.375" style="10" customWidth="1"/>
    <col min="2308" max="2308" width="21.50390625" style="10" customWidth="1"/>
    <col min="2309" max="2309" width="20.125" style="10" customWidth="1"/>
    <col min="2310" max="2310" width="21.125" style="10" customWidth="1"/>
    <col min="2311" max="2311" width="18.375" style="10" customWidth="1"/>
    <col min="2312" max="2560" width="9.25390625" style="10" customWidth="1"/>
    <col min="2561" max="2561" width="18.625" style="10" customWidth="1"/>
    <col min="2562" max="2562" width="18.25390625" style="10" customWidth="1"/>
    <col min="2563" max="2563" width="20.375" style="10" customWidth="1"/>
    <col min="2564" max="2564" width="21.50390625" style="10" customWidth="1"/>
    <col min="2565" max="2565" width="20.125" style="10" customWidth="1"/>
    <col min="2566" max="2566" width="21.125" style="10" customWidth="1"/>
    <col min="2567" max="2567" width="18.375" style="10" customWidth="1"/>
    <col min="2568" max="2816" width="9.25390625" style="10" customWidth="1"/>
    <col min="2817" max="2817" width="18.625" style="10" customWidth="1"/>
    <col min="2818" max="2818" width="18.25390625" style="10" customWidth="1"/>
    <col min="2819" max="2819" width="20.375" style="10" customWidth="1"/>
    <col min="2820" max="2820" width="21.50390625" style="10" customWidth="1"/>
    <col min="2821" max="2821" width="20.125" style="10" customWidth="1"/>
    <col min="2822" max="2822" width="21.125" style="10" customWidth="1"/>
    <col min="2823" max="2823" width="18.375" style="10" customWidth="1"/>
    <col min="2824" max="3072" width="9.25390625" style="10" customWidth="1"/>
    <col min="3073" max="3073" width="18.625" style="10" customWidth="1"/>
    <col min="3074" max="3074" width="18.25390625" style="10" customWidth="1"/>
    <col min="3075" max="3075" width="20.375" style="10" customWidth="1"/>
    <col min="3076" max="3076" width="21.50390625" style="10" customWidth="1"/>
    <col min="3077" max="3077" width="20.125" style="10" customWidth="1"/>
    <col min="3078" max="3078" width="21.125" style="10" customWidth="1"/>
    <col min="3079" max="3079" width="18.375" style="10" customWidth="1"/>
    <col min="3080" max="3328" width="9.25390625" style="10" customWidth="1"/>
    <col min="3329" max="3329" width="18.625" style="10" customWidth="1"/>
    <col min="3330" max="3330" width="18.25390625" style="10" customWidth="1"/>
    <col min="3331" max="3331" width="20.375" style="10" customWidth="1"/>
    <col min="3332" max="3332" width="21.50390625" style="10" customWidth="1"/>
    <col min="3333" max="3333" width="20.125" style="10" customWidth="1"/>
    <col min="3334" max="3334" width="21.125" style="10" customWidth="1"/>
    <col min="3335" max="3335" width="18.375" style="10" customWidth="1"/>
    <col min="3336" max="3584" width="9.25390625" style="10" customWidth="1"/>
    <col min="3585" max="3585" width="18.625" style="10" customWidth="1"/>
    <col min="3586" max="3586" width="18.25390625" style="10" customWidth="1"/>
    <col min="3587" max="3587" width="20.375" style="10" customWidth="1"/>
    <col min="3588" max="3588" width="21.50390625" style="10" customWidth="1"/>
    <col min="3589" max="3589" width="20.125" style="10" customWidth="1"/>
    <col min="3590" max="3590" width="21.125" style="10" customWidth="1"/>
    <col min="3591" max="3591" width="18.375" style="10" customWidth="1"/>
    <col min="3592" max="3840" width="9.25390625" style="10" customWidth="1"/>
    <col min="3841" max="3841" width="18.625" style="10" customWidth="1"/>
    <col min="3842" max="3842" width="18.25390625" style="10" customWidth="1"/>
    <col min="3843" max="3843" width="20.375" style="10" customWidth="1"/>
    <col min="3844" max="3844" width="21.50390625" style="10" customWidth="1"/>
    <col min="3845" max="3845" width="20.125" style="10" customWidth="1"/>
    <col min="3846" max="3846" width="21.125" style="10" customWidth="1"/>
    <col min="3847" max="3847" width="18.375" style="10" customWidth="1"/>
    <col min="3848" max="4096" width="9.25390625" style="10" customWidth="1"/>
    <col min="4097" max="4097" width="18.625" style="10" customWidth="1"/>
    <col min="4098" max="4098" width="18.25390625" style="10" customWidth="1"/>
    <col min="4099" max="4099" width="20.375" style="10" customWidth="1"/>
    <col min="4100" max="4100" width="21.50390625" style="10" customWidth="1"/>
    <col min="4101" max="4101" width="20.125" style="10" customWidth="1"/>
    <col min="4102" max="4102" width="21.125" style="10" customWidth="1"/>
    <col min="4103" max="4103" width="18.375" style="10" customWidth="1"/>
    <col min="4104" max="4352" width="9.25390625" style="10" customWidth="1"/>
    <col min="4353" max="4353" width="18.625" style="10" customWidth="1"/>
    <col min="4354" max="4354" width="18.25390625" style="10" customWidth="1"/>
    <col min="4355" max="4355" width="20.375" style="10" customWidth="1"/>
    <col min="4356" max="4356" width="21.50390625" style="10" customWidth="1"/>
    <col min="4357" max="4357" width="20.125" style="10" customWidth="1"/>
    <col min="4358" max="4358" width="21.125" style="10" customWidth="1"/>
    <col min="4359" max="4359" width="18.375" style="10" customWidth="1"/>
    <col min="4360" max="4608" width="9.25390625" style="10" customWidth="1"/>
    <col min="4609" max="4609" width="18.625" style="10" customWidth="1"/>
    <col min="4610" max="4610" width="18.25390625" style="10" customWidth="1"/>
    <col min="4611" max="4611" width="20.375" style="10" customWidth="1"/>
    <col min="4612" max="4612" width="21.50390625" style="10" customWidth="1"/>
    <col min="4613" max="4613" width="20.125" style="10" customWidth="1"/>
    <col min="4614" max="4614" width="21.125" style="10" customWidth="1"/>
    <col min="4615" max="4615" width="18.375" style="10" customWidth="1"/>
    <col min="4616" max="4864" width="9.25390625" style="10" customWidth="1"/>
    <col min="4865" max="4865" width="18.625" style="10" customWidth="1"/>
    <col min="4866" max="4866" width="18.25390625" style="10" customWidth="1"/>
    <col min="4867" max="4867" width="20.375" style="10" customWidth="1"/>
    <col min="4868" max="4868" width="21.50390625" style="10" customWidth="1"/>
    <col min="4869" max="4869" width="20.125" style="10" customWidth="1"/>
    <col min="4870" max="4870" width="21.125" style="10" customWidth="1"/>
    <col min="4871" max="4871" width="18.375" style="10" customWidth="1"/>
    <col min="4872" max="5120" width="9.25390625" style="10" customWidth="1"/>
    <col min="5121" max="5121" width="18.625" style="10" customWidth="1"/>
    <col min="5122" max="5122" width="18.25390625" style="10" customWidth="1"/>
    <col min="5123" max="5123" width="20.375" style="10" customWidth="1"/>
    <col min="5124" max="5124" width="21.50390625" style="10" customWidth="1"/>
    <col min="5125" max="5125" width="20.125" style="10" customWidth="1"/>
    <col min="5126" max="5126" width="21.125" style="10" customWidth="1"/>
    <col min="5127" max="5127" width="18.375" style="10" customWidth="1"/>
    <col min="5128" max="5376" width="9.25390625" style="10" customWidth="1"/>
    <col min="5377" max="5377" width="18.625" style="10" customWidth="1"/>
    <col min="5378" max="5378" width="18.25390625" style="10" customWidth="1"/>
    <col min="5379" max="5379" width="20.375" style="10" customWidth="1"/>
    <col min="5380" max="5380" width="21.50390625" style="10" customWidth="1"/>
    <col min="5381" max="5381" width="20.125" style="10" customWidth="1"/>
    <col min="5382" max="5382" width="21.125" style="10" customWidth="1"/>
    <col min="5383" max="5383" width="18.375" style="10" customWidth="1"/>
    <col min="5384" max="5632" width="9.25390625" style="10" customWidth="1"/>
    <col min="5633" max="5633" width="18.625" style="10" customWidth="1"/>
    <col min="5634" max="5634" width="18.25390625" style="10" customWidth="1"/>
    <col min="5635" max="5635" width="20.375" style="10" customWidth="1"/>
    <col min="5636" max="5636" width="21.50390625" style="10" customWidth="1"/>
    <col min="5637" max="5637" width="20.125" style="10" customWidth="1"/>
    <col min="5638" max="5638" width="21.125" style="10" customWidth="1"/>
    <col min="5639" max="5639" width="18.375" style="10" customWidth="1"/>
    <col min="5640" max="5888" width="9.25390625" style="10" customWidth="1"/>
    <col min="5889" max="5889" width="18.625" style="10" customWidth="1"/>
    <col min="5890" max="5890" width="18.25390625" style="10" customWidth="1"/>
    <col min="5891" max="5891" width="20.375" style="10" customWidth="1"/>
    <col min="5892" max="5892" width="21.50390625" style="10" customWidth="1"/>
    <col min="5893" max="5893" width="20.125" style="10" customWidth="1"/>
    <col min="5894" max="5894" width="21.125" style="10" customWidth="1"/>
    <col min="5895" max="5895" width="18.375" style="10" customWidth="1"/>
    <col min="5896" max="6144" width="9.25390625" style="10" customWidth="1"/>
    <col min="6145" max="6145" width="18.625" style="10" customWidth="1"/>
    <col min="6146" max="6146" width="18.25390625" style="10" customWidth="1"/>
    <col min="6147" max="6147" width="20.375" style="10" customWidth="1"/>
    <col min="6148" max="6148" width="21.50390625" style="10" customWidth="1"/>
    <col min="6149" max="6149" width="20.125" style="10" customWidth="1"/>
    <col min="6150" max="6150" width="21.125" style="10" customWidth="1"/>
    <col min="6151" max="6151" width="18.375" style="10" customWidth="1"/>
    <col min="6152" max="6400" width="9.25390625" style="10" customWidth="1"/>
    <col min="6401" max="6401" width="18.625" style="10" customWidth="1"/>
    <col min="6402" max="6402" width="18.25390625" style="10" customWidth="1"/>
    <col min="6403" max="6403" width="20.375" style="10" customWidth="1"/>
    <col min="6404" max="6404" width="21.50390625" style="10" customWidth="1"/>
    <col min="6405" max="6405" width="20.125" style="10" customWidth="1"/>
    <col min="6406" max="6406" width="21.125" style="10" customWidth="1"/>
    <col min="6407" max="6407" width="18.375" style="10" customWidth="1"/>
    <col min="6408" max="6656" width="9.25390625" style="10" customWidth="1"/>
    <col min="6657" max="6657" width="18.625" style="10" customWidth="1"/>
    <col min="6658" max="6658" width="18.25390625" style="10" customWidth="1"/>
    <col min="6659" max="6659" width="20.375" style="10" customWidth="1"/>
    <col min="6660" max="6660" width="21.50390625" style="10" customWidth="1"/>
    <col min="6661" max="6661" width="20.125" style="10" customWidth="1"/>
    <col min="6662" max="6662" width="21.125" style="10" customWidth="1"/>
    <col min="6663" max="6663" width="18.375" style="10" customWidth="1"/>
    <col min="6664" max="6912" width="9.25390625" style="10" customWidth="1"/>
    <col min="6913" max="6913" width="18.625" style="10" customWidth="1"/>
    <col min="6914" max="6914" width="18.25390625" style="10" customWidth="1"/>
    <col min="6915" max="6915" width="20.375" style="10" customWidth="1"/>
    <col min="6916" max="6916" width="21.50390625" style="10" customWidth="1"/>
    <col min="6917" max="6917" width="20.125" style="10" customWidth="1"/>
    <col min="6918" max="6918" width="21.125" style="10" customWidth="1"/>
    <col min="6919" max="6919" width="18.375" style="10" customWidth="1"/>
    <col min="6920" max="7168" width="9.25390625" style="10" customWidth="1"/>
    <col min="7169" max="7169" width="18.625" style="10" customWidth="1"/>
    <col min="7170" max="7170" width="18.25390625" style="10" customWidth="1"/>
    <col min="7171" max="7171" width="20.375" style="10" customWidth="1"/>
    <col min="7172" max="7172" width="21.50390625" style="10" customWidth="1"/>
    <col min="7173" max="7173" width="20.125" style="10" customWidth="1"/>
    <col min="7174" max="7174" width="21.125" style="10" customWidth="1"/>
    <col min="7175" max="7175" width="18.375" style="10" customWidth="1"/>
    <col min="7176" max="7424" width="9.25390625" style="10" customWidth="1"/>
    <col min="7425" max="7425" width="18.625" style="10" customWidth="1"/>
    <col min="7426" max="7426" width="18.25390625" style="10" customWidth="1"/>
    <col min="7427" max="7427" width="20.375" style="10" customWidth="1"/>
    <col min="7428" max="7428" width="21.50390625" style="10" customWidth="1"/>
    <col min="7429" max="7429" width="20.125" style="10" customWidth="1"/>
    <col min="7430" max="7430" width="21.125" style="10" customWidth="1"/>
    <col min="7431" max="7431" width="18.375" style="10" customWidth="1"/>
    <col min="7432" max="7680" width="9.25390625" style="10" customWidth="1"/>
    <col min="7681" max="7681" width="18.625" style="10" customWidth="1"/>
    <col min="7682" max="7682" width="18.25390625" style="10" customWidth="1"/>
    <col min="7683" max="7683" width="20.375" style="10" customWidth="1"/>
    <col min="7684" max="7684" width="21.50390625" style="10" customWidth="1"/>
    <col min="7685" max="7685" width="20.125" style="10" customWidth="1"/>
    <col min="7686" max="7686" width="21.125" style="10" customWidth="1"/>
    <col min="7687" max="7687" width="18.375" style="10" customWidth="1"/>
    <col min="7688" max="7936" width="9.25390625" style="10" customWidth="1"/>
    <col min="7937" max="7937" width="18.625" style="10" customWidth="1"/>
    <col min="7938" max="7938" width="18.25390625" style="10" customWidth="1"/>
    <col min="7939" max="7939" width="20.375" style="10" customWidth="1"/>
    <col min="7940" max="7940" width="21.50390625" style="10" customWidth="1"/>
    <col min="7941" max="7941" width="20.125" style="10" customWidth="1"/>
    <col min="7942" max="7942" width="21.125" style="10" customWidth="1"/>
    <col min="7943" max="7943" width="18.375" style="10" customWidth="1"/>
    <col min="7944" max="8192" width="9.25390625" style="10" customWidth="1"/>
    <col min="8193" max="8193" width="18.625" style="10" customWidth="1"/>
    <col min="8194" max="8194" width="18.25390625" style="10" customWidth="1"/>
    <col min="8195" max="8195" width="20.375" style="10" customWidth="1"/>
    <col min="8196" max="8196" width="21.50390625" style="10" customWidth="1"/>
    <col min="8197" max="8197" width="20.125" style="10" customWidth="1"/>
    <col min="8198" max="8198" width="21.125" style="10" customWidth="1"/>
    <col min="8199" max="8199" width="18.375" style="10" customWidth="1"/>
    <col min="8200" max="8448" width="9.25390625" style="10" customWidth="1"/>
    <col min="8449" max="8449" width="18.625" style="10" customWidth="1"/>
    <col min="8450" max="8450" width="18.25390625" style="10" customWidth="1"/>
    <col min="8451" max="8451" width="20.375" style="10" customWidth="1"/>
    <col min="8452" max="8452" width="21.50390625" style="10" customWidth="1"/>
    <col min="8453" max="8453" width="20.125" style="10" customWidth="1"/>
    <col min="8454" max="8454" width="21.125" style="10" customWidth="1"/>
    <col min="8455" max="8455" width="18.375" style="10" customWidth="1"/>
    <col min="8456" max="8704" width="9.25390625" style="10" customWidth="1"/>
    <col min="8705" max="8705" width="18.625" style="10" customWidth="1"/>
    <col min="8706" max="8706" width="18.25390625" style="10" customWidth="1"/>
    <col min="8707" max="8707" width="20.375" style="10" customWidth="1"/>
    <col min="8708" max="8708" width="21.50390625" style="10" customWidth="1"/>
    <col min="8709" max="8709" width="20.125" style="10" customWidth="1"/>
    <col min="8710" max="8710" width="21.125" style="10" customWidth="1"/>
    <col min="8711" max="8711" width="18.375" style="10" customWidth="1"/>
    <col min="8712" max="8960" width="9.25390625" style="10" customWidth="1"/>
    <col min="8961" max="8961" width="18.625" style="10" customWidth="1"/>
    <col min="8962" max="8962" width="18.25390625" style="10" customWidth="1"/>
    <col min="8963" max="8963" width="20.375" style="10" customWidth="1"/>
    <col min="8964" max="8964" width="21.50390625" style="10" customWidth="1"/>
    <col min="8965" max="8965" width="20.125" style="10" customWidth="1"/>
    <col min="8966" max="8966" width="21.125" style="10" customWidth="1"/>
    <col min="8967" max="8967" width="18.375" style="10" customWidth="1"/>
    <col min="8968" max="9216" width="9.25390625" style="10" customWidth="1"/>
    <col min="9217" max="9217" width="18.625" style="10" customWidth="1"/>
    <col min="9218" max="9218" width="18.25390625" style="10" customWidth="1"/>
    <col min="9219" max="9219" width="20.375" style="10" customWidth="1"/>
    <col min="9220" max="9220" width="21.50390625" style="10" customWidth="1"/>
    <col min="9221" max="9221" width="20.125" style="10" customWidth="1"/>
    <col min="9222" max="9222" width="21.125" style="10" customWidth="1"/>
    <col min="9223" max="9223" width="18.375" style="10" customWidth="1"/>
    <col min="9224" max="9472" width="9.25390625" style="10" customWidth="1"/>
    <col min="9473" max="9473" width="18.625" style="10" customWidth="1"/>
    <col min="9474" max="9474" width="18.25390625" style="10" customWidth="1"/>
    <col min="9475" max="9475" width="20.375" style="10" customWidth="1"/>
    <col min="9476" max="9476" width="21.50390625" style="10" customWidth="1"/>
    <col min="9477" max="9477" width="20.125" style="10" customWidth="1"/>
    <col min="9478" max="9478" width="21.125" style="10" customWidth="1"/>
    <col min="9479" max="9479" width="18.375" style="10" customWidth="1"/>
    <col min="9480" max="9728" width="9.25390625" style="10" customWidth="1"/>
    <col min="9729" max="9729" width="18.625" style="10" customWidth="1"/>
    <col min="9730" max="9730" width="18.25390625" style="10" customWidth="1"/>
    <col min="9731" max="9731" width="20.375" style="10" customWidth="1"/>
    <col min="9732" max="9732" width="21.50390625" style="10" customWidth="1"/>
    <col min="9733" max="9733" width="20.125" style="10" customWidth="1"/>
    <col min="9734" max="9734" width="21.125" style="10" customWidth="1"/>
    <col min="9735" max="9735" width="18.375" style="10" customWidth="1"/>
    <col min="9736" max="9984" width="9.25390625" style="10" customWidth="1"/>
    <col min="9985" max="9985" width="18.625" style="10" customWidth="1"/>
    <col min="9986" max="9986" width="18.25390625" style="10" customWidth="1"/>
    <col min="9987" max="9987" width="20.375" style="10" customWidth="1"/>
    <col min="9988" max="9988" width="21.50390625" style="10" customWidth="1"/>
    <col min="9989" max="9989" width="20.125" style="10" customWidth="1"/>
    <col min="9990" max="9990" width="21.125" style="10" customWidth="1"/>
    <col min="9991" max="9991" width="18.375" style="10" customWidth="1"/>
    <col min="9992" max="10240" width="9.25390625" style="10" customWidth="1"/>
    <col min="10241" max="10241" width="18.625" style="10" customWidth="1"/>
    <col min="10242" max="10242" width="18.25390625" style="10" customWidth="1"/>
    <col min="10243" max="10243" width="20.375" style="10" customWidth="1"/>
    <col min="10244" max="10244" width="21.50390625" style="10" customWidth="1"/>
    <col min="10245" max="10245" width="20.125" style="10" customWidth="1"/>
    <col min="10246" max="10246" width="21.125" style="10" customWidth="1"/>
    <col min="10247" max="10247" width="18.375" style="10" customWidth="1"/>
    <col min="10248" max="10496" width="9.25390625" style="10" customWidth="1"/>
    <col min="10497" max="10497" width="18.625" style="10" customWidth="1"/>
    <col min="10498" max="10498" width="18.25390625" style="10" customWidth="1"/>
    <col min="10499" max="10499" width="20.375" style="10" customWidth="1"/>
    <col min="10500" max="10500" width="21.50390625" style="10" customWidth="1"/>
    <col min="10501" max="10501" width="20.125" style="10" customWidth="1"/>
    <col min="10502" max="10502" width="21.125" style="10" customWidth="1"/>
    <col min="10503" max="10503" width="18.375" style="10" customWidth="1"/>
    <col min="10504" max="10752" width="9.25390625" style="10" customWidth="1"/>
    <col min="10753" max="10753" width="18.625" style="10" customWidth="1"/>
    <col min="10754" max="10754" width="18.25390625" style="10" customWidth="1"/>
    <col min="10755" max="10755" width="20.375" style="10" customWidth="1"/>
    <col min="10756" max="10756" width="21.50390625" style="10" customWidth="1"/>
    <col min="10757" max="10757" width="20.125" style="10" customWidth="1"/>
    <col min="10758" max="10758" width="21.125" style="10" customWidth="1"/>
    <col min="10759" max="10759" width="18.375" style="10" customWidth="1"/>
    <col min="10760" max="11008" width="9.25390625" style="10" customWidth="1"/>
    <col min="11009" max="11009" width="18.625" style="10" customWidth="1"/>
    <col min="11010" max="11010" width="18.25390625" style="10" customWidth="1"/>
    <col min="11011" max="11011" width="20.375" style="10" customWidth="1"/>
    <col min="11012" max="11012" width="21.50390625" style="10" customWidth="1"/>
    <col min="11013" max="11013" width="20.125" style="10" customWidth="1"/>
    <col min="11014" max="11014" width="21.125" style="10" customWidth="1"/>
    <col min="11015" max="11015" width="18.375" style="10" customWidth="1"/>
    <col min="11016" max="11264" width="9.25390625" style="10" customWidth="1"/>
    <col min="11265" max="11265" width="18.625" style="10" customWidth="1"/>
    <col min="11266" max="11266" width="18.25390625" style="10" customWidth="1"/>
    <col min="11267" max="11267" width="20.375" style="10" customWidth="1"/>
    <col min="11268" max="11268" width="21.50390625" style="10" customWidth="1"/>
    <col min="11269" max="11269" width="20.125" style="10" customWidth="1"/>
    <col min="11270" max="11270" width="21.125" style="10" customWidth="1"/>
    <col min="11271" max="11271" width="18.375" style="10" customWidth="1"/>
    <col min="11272" max="11520" width="9.25390625" style="10" customWidth="1"/>
    <col min="11521" max="11521" width="18.625" style="10" customWidth="1"/>
    <col min="11522" max="11522" width="18.25390625" style="10" customWidth="1"/>
    <col min="11523" max="11523" width="20.375" style="10" customWidth="1"/>
    <col min="11524" max="11524" width="21.50390625" style="10" customWidth="1"/>
    <col min="11525" max="11525" width="20.125" style="10" customWidth="1"/>
    <col min="11526" max="11526" width="21.125" style="10" customWidth="1"/>
    <col min="11527" max="11527" width="18.375" style="10" customWidth="1"/>
    <col min="11528" max="11776" width="9.25390625" style="10" customWidth="1"/>
    <col min="11777" max="11777" width="18.625" style="10" customWidth="1"/>
    <col min="11778" max="11778" width="18.25390625" style="10" customWidth="1"/>
    <col min="11779" max="11779" width="20.375" style="10" customWidth="1"/>
    <col min="11780" max="11780" width="21.50390625" style="10" customWidth="1"/>
    <col min="11781" max="11781" width="20.125" style="10" customWidth="1"/>
    <col min="11782" max="11782" width="21.125" style="10" customWidth="1"/>
    <col min="11783" max="11783" width="18.375" style="10" customWidth="1"/>
    <col min="11784" max="12032" width="9.25390625" style="10" customWidth="1"/>
    <col min="12033" max="12033" width="18.625" style="10" customWidth="1"/>
    <col min="12034" max="12034" width="18.25390625" style="10" customWidth="1"/>
    <col min="12035" max="12035" width="20.375" style="10" customWidth="1"/>
    <col min="12036" max="12036" width="21.50390625" style="10" customWidth="1"/>
    <col min="12037" max="12037" width="20.125" style="10" customWidth="1"/>
    <col min="12038" max="12038" width="21.125" style="10" customWidth="1"/>
    <col min="12039" max="12039" width="18.375" style="10" customWidth="1"/>
    <col min="12040" max="12288" width="9.25390625" style="10" customWidth="1"/>
    <col min="12289" max="12289" width="18.625" style="10" customWidth="1"/>
    <col min="12290" max="12290" width="18.25390625" style="10" customWidth="1"/>
    <col min="12291" max="12291" width="20.375" style="10" customWidth="1"/>
    <col min="12292" max="12292" width="21.50390625" style="10" customWidth="1"/>
    <col min="12293" max="12293" width="20.125" style="10" customWidth="1"/>
    <col min="12294" max="12294" width="21.125" style="10" customWidth="1"/>
    <col min="12295" max="12295" width="18.375" style="10" customWidth="1"/>
    <col min="12296" max="12544" width="9.25390625" style="10" customWidth="1"/>
    <col min="12545" max="12545" width="18.625" style="10" customWidth="1"/>
    <col min="12546" max="12546" width="18.25390625" style="10" customWidth="1"/>
    <col min="12547" max="12547" width="20.375" style="10" customWidth="1"/>
    <col min="12548" max="12548" width="21.50390625" style="10" customWidth="1"/>
    <col min="12549" max="12549" width="20.125" style="10" customWidth="1"/>
    <col min="12550" max="12550" width="21.125" style="10" customWidth="1"/>
    <col min="12551" max="12551" width="18.375" style="10" customWidth="1"/>
    <col min="12552" max="12800" width="9.25390625" style="10" customWidth="1"/>
    <col min="12801" max="12801" width="18.625" style="10" customWidth="1"/>
    <col min="12802" max="12802" width="18.25390625" style="10" customWidth="1"/>
    <col min="12803" max="12803" width="20.375" style="10" customWidth="1"/>
    <col min="12804" max="12804" width="21.50390625" style="10" customWidth="1"/>
    <col min="12805" max="12805" width="20.125" style="10" customWidth="1"/>
    <col min="12806" max="12806" width="21.125" style="10" customWidth="1"/>
    <col min="12807" max="12807" width="18.375" style="10" customWidth="1"/>
    <col min="12808" max="13056" width="9.25390625" style="10" customWidth="1"/>
    <col min="13057" max="13057" width="18.625" style="10" customWidth="1"/>
    <col min="13058" max="13058" width="18.25390625" style="10" customWidth="1"/>
    <col min="13059" max="13059" width="20.375" style="10" customWidth="1"/>
    <col min="13060" max="13060" width="21.50390625" style="10" customWidth="1"/>
    <col min="13061" max="13061" width="20.125" style="10" customWidth="1"/>
    <col min="13062" max="13062" width="21.125" style="10" customWidth="1"/>
    <col min="13063" max="13063" width="18.375" style="10" customWidth="1"/>
    <col min="13064" max="13312" width="9.25390625" style="10" customWidth="1"/>
    <col min="13313" max="13313" width="18.625" style="10" customWidth="1"/>
    <col min="13314" max="13314" width="18.25390625" style="10" customWidth="1"/>
    <col min="13315" max="13315" width="20.375" style="10" customWidth="1"/>
    <col min="13316" max="13316" width="21.50390625" style="10" customWidth="1"/>
    <col min="13317" max="13317" width="20.125" style="10" customWidth="1"/>
    <col min="13318" max="13318" width="21.125" style="10" customWidth="1"/>
    <col min="13319" max="13319" width="18.375" style="10" customWidth="1"/>
    <col min="13320" max="13568" width="9.25390625" style="10" customWidth="1"/>
    <col min="13569" max="13569" width="18.625" style="10" customWidth="1"/>
    <col min="13570" max="13570" width="18.25390625" style="10" customWidth="1"/>
    <col min="13571" max="13571" width="20.375" style="10" customWidth="1"/>
    <col min="13572" max="13572" width="21.50390625" style="10" customWidth="1"/>
    <col min="13573" max="13573" width="20.125" style="10" customWidth="1"/>
    <col min="13574" max="13574" width="21.125" style="10" customWidth="1"/>
    <col min="13575" max="13575" width="18.375" style="10" customWidth="1"/>
    <col min="13576" max="13824" width="9.25390625" style="10" customWidth="1"/>
    <col min="13825" max="13825" width="18.625" style="10" customWidth="1"/>
    <col min="13826" max="13826" width="18.25390625" style="10" customWidth="1"/>
    <col min="13827" max="13827" width="20.375" style="10" customWidth="1"/>
    <col min="13828" max="13828" width="21.50390625" style="10" customWidth="1"/>
    <col min="13829" max="13829" width="20.125" style="10" customWidth="1"/>
    <col min="13830" max="13830" width="21.125" style="10" customWidth="1"/>
    <col min="13831" max="13831" width="18.375" style="10" customWidth="1"/>
    <col min="13832" max="14080" width="9.25390625" style="10" customWidth="1"/>
    <col min="14081" max="14081" width="18.625" style="10" customWidth="1"/>
    <col min="14082" max="14082" width="18.25390625" style="10" customWidth="1"/>
    <col min="14083" max="14083" width="20.375" style="10" customWidth="1"/>
    <col min="14084" max="14084" width="21.50390625" style="10" customWidth="1"/>
    <col min="14085" max="14085" width="20.125" style="10" customWidth="1"/>
    <col min="14086" max="14086" width="21.125" style="10" customWidth="1"/>
    <col min="14087" max="14087" width="18.375" style="10" customWidth="1"/>
    <col min="14088" max="14336" width="9.25390625" style="10" customWidth="1"/>
    <col min="14337" max="14337" width="18.625" style="10" customWidth="1"/>
    <col min="14338" max="14338" width="18.25390625" style="10" customWidth="1"/>
    <col min="14339" max="14339" width="20.375" style="10" customWidth="1"/>
    <col min="14340" max="14340" width="21.50390625" style="10" customWidth="1"/>
    <col min="14341" max="14341" width="20.125" style="10" customWidth="1"/>
    <col min="14342" max="14342" width="21.125" style="10" customWidth="1"/>
    <col min="14343" max="14343" width="18.375" style="10" customWidth="1"/>
    <col min="14344" max="14592" width="9.25390625" style="10" customWidth="1"/>
    <col min="14593" max="14593" width="18.625" style="10" customWidth="1"/>
    <col min="14594" max="14594" width="18.25390625" style="10" customWidth="1"/>
    <col min="14595" max="14595" width="20.375" style="10" customWidth="1"/>
    <col min="14596" max="14596" width="21.50390625" style="10" customWidth="1"/>
    <col min="14597" max="14597" width="20.125" style="10" customWidth="1"/>
    <col min="14598" max="14598" width="21.125" style="10" customWidth="1"/>
    <col min="14599" max="14599" width="18.375" style="10" customWidth="1"/>
    <col min="14600" max="14848" width="9.25390625" style="10" customWidth="1"/>
    <col min="14849" max="14849" width="18.625" style="10" customWidth="1"/>
    <col min="14850" max="14850" width="18.25390625" style="10" customWidth="1"/>
    <col min="14851" max="14851" width="20.375" style="10" customWidth="1"/>
    <col min="14852" max="14852" width="21.50390625" style="10" customWidth="1"/>
    <col min="14853" max="14853" width="20.125" style="10" customWidth="1"/>
    <col min="14854" max="14854" width="21.125" style="10" customWidth="1"/>
    <col min="14855" max="14855" width="18.375" style="10" customWidth="1"/>
    <col min="14856" max="15104" width="9.25390625" style="10" customWidth="1"/>
    <col min="15105" max="15105" width="18.625" style="10" customWidth="1"/>
    <col min="15106" max="15106" width="18.25390625" style="10" customWidth="1"/>
    <col min="15107" max="15107" width="20.375" style="10" customWidth="1"/>
    <col min="15108" max="15108" width="21.50390625" style="10" customWidth="1"/>
    <col min="15109" max="15109" width="20.125" style="10" customWidth="1"/>
    <col min="15110" max="15110" width="21.125" style="10" customWidth="1"/>
    <col min="15111" max="15111" width="18.375" style="10" customWidth="1"/>
    <col min="15112" max="15360" width="9.25390625" style="10" customWidth="1"/>
    <col min="15361" max="15361" width="18.625" style="10" customWidth="1"/>
    <col min="15362" max="15362" width="18.25390625" style="10" customWidth="1"/>
    <col min="15363" max="15363" width="20.375" style="10" customWidth="1"/>
    <col min="15364" max="15364" width="21.50390625" style="10" customWidth="1"/>
    <col min="15365" max="15365" width="20.125" style="10" customWidth="1"/>
    <col min="15366" max="15366" width="21.125" style="10" customWidth="1"/>
    <col min="15367" max="15367" width="18.375" style="10" customWidth="1"/>
    <col min="15368" max="15616" width="9.25390625" style="10" customWidth="1"/>
    <col min="15617" max="15617" width="18.625" style="10" customWidth="1"/>
    <col min="15618" max="15618" width="18.25390625" style="10" customWidth="1"/>
    <col min="15619" max="15619" width="20.375" style="10" customWidth="1"/>
    <col min="15620" max="15620" width="21.50390625" style="10" customWidth="1"/>
    <col min="15621" max="15621" width="20.125" style="10" customWidth="1"/>
    <col min="15622" max="15622" width="21.125" style="10" customWidth="1"/>
    <col min="15623" max="15623" width="18.375" style="10" customWidth="1"/>
    <col min="15624" max="15872" width="9.25390625" style="10" customWidth="1"/>
    <col min="15873" max="15873" width="18.625" style="10" customWidth="1"/>
    <col min="15874" max="15874" width="18.25390625" style="10" customWidth="1"/>
    <col min="15875" max="15875" width="20.375" style="10" customWidth="1"/>
    <col min="15876" max="15876" width="21.50390625" style="10" customWidth="1"/>
    <col min="15877" max="15877" width="20.125" style="10" customWidth="1"/>
    <col min="15878" max="15878" width="21.125" style="10" customWidth="1"/>
    <col min="15879" max="15879" width="18.375" style="10" customWidth="1"/>
    <col min="15880" max="16128" width="9.25390625" style="10" customWidth="1"/>
    <col min="16129" max="16129" width="18.625" style="10" customWidth="1"/>
    <col min="16130" max="16130" width="18.25390625" style="10" customWidth="1"/>
    <col min="16131" max="16131" width="20.375" style="10" customWidth="1"/>
    <col min="16132" max="16132" width="21.50390625" style="10" customWidth="1"/>
    <col min="16133" max="16133" width="20.125" style="10" customWidth="1"/>
    <col min="16134" max="16134" width="21.125" style="10" customWidth="1"/>
    <col min="16135" max="16135" width="18.375" style="10" customWidth="1"/>
    <col min="16136" max="16384" width="9.25390625" style="10" customWidth="1"/>
  </cols>
  <sheetData>
    <row r="1" spans="1:7" s="9" customFormat="1" ht="27" customHeight="1">
      <c r="A1" s="1210" t="s">
        <v>774</v>
      </c>
      <c r="B1" s="1211"/>
      <c r="C1" s="1211"/>
      <c r="D1" s="1211"/>
      <c r="E1" s="1211"/>
      <c r="F1" s="1211"/>
      <c r="G1" s="1211"/>
    </row>
    <row r="2" spans="1:7" s="9" customFormat="1" ht="20.25" customHeight="1">
      <c r="A2" s="995" t="s">
        <v>933</v>
      </c>
      <c r="B2" s="995"/>
      <c r="C2" s="995"/>
      <c r="D2" s="995"/>
      <c r="E2" s="995"/>
      <c r="F2" s="995"/>
      <c r="G2" s="995"/>
    </row>
    <row r="3" spans="1:7" ht="28.5" customHeight="1">
      <c r="A3" s="1080" t="s">
        <v>3</v>
      </c>
      <c r="B3" s="1081"/>
      <c r="C3" s="1081"/>
      <c r="D3" s="1081"/>
      <c r="E3" s="1081"/>
      <c r="F3" s="1081"/>
      <c r="G3" s="1082"/>
    </row>
    <row r="4" spans="1:7" s="1" customFormat="1" ht="18.75" customHeight="1">
      <c r="A4" s="992" t="s">
        <v>4</v>
      </c>
      <c r="B4" s="992"/>
      <c r="C4" s="992"/>
      <c r="D4" s="572" t="s">
        <v>946</v>
      </c>
      <c r="E4" s="572" t="s">
        <v>946</v>
      </c>
      <c r="F4" s="572" t="s">
        <v>948</v>
      </c>
      <c r="G4" s="992" t="s">
        <v>735</v>
      </c>
    </row>
    <row r="5" spans="1:7" s="2" customFormat="1" ht="17.25" customHeight="1">
      <c r="A5" s="675" t="s">
        <v>6</v>
      </c>
      <c r="B5" s="675" t="s">
        <v>7</v>
      </c>
      <c r="C5" s="675" t="s">
        <v>8</v>
      </c>
      <c r="D5" s="623" t="s">
        <v>1159</v>
      </c>
      <c r="E5" s="623" t="s">
        <v>1160</v>
      </c>
      <c r="F5" s="623" t="s">
        <v>397</v>
      </c>
      <c r="G5" s="992"/>
    </row>
    <row r="6" spans="1:7" ht="14.25">
      <c r="A6" s="590">
        <v>5300</v>
      </c>
      <c r="B6" s="590"/>
      <c r="C6" s="594"/>
      <c r="D6" s="612"/>
      <c r="E6" s="574"/>
      <c r="F6" s="574"/>
      <c r="G6" s="500" t="s">
        <v>96</v>
      </c>
    </row>
    <row r="7" spans="1:7" ht="20.25" customHeight="1">
      <c r="A7" s="684" t="s">
        <v>18</v>
      </c>
      <c r="B7" s="685"/>
      <c r="C7" s="592"/>
      <c r="D7" s="606">
        <f>D9+D13</f>
        <v>2417760000</v>
      </c>
      <c r="E7" s="606">
        <f>E9+E13</f>
        <v>2425760000</v>
      </c>
      <c r="F7" s="573">
        <f>D7-E7</f>
        <v>-8000000</v>
      </c>
      <c r="G7" s="317"/>
    </row>
    <row r="8" spans="1:7" ht="14.25">
      <c r="A8" s="591"/>
      <c r="B8" s="590">
        <v>5320</v>
      </c>
      <c r="C8" s="595"/>
      <c r="D8" s="613"/>
      <c r="E8" s="577"/>
      <c r="F8" s="577"/>
      <c r="G8" s="500"/>
    </row>
    <row r="9" spans="1:7" ht="20.25" customHeight="1">
      <c r="A9" s="692"/>
      <c r="B9" s="684" t="s">
        <v>940</v>
      </c>
      <c r="C9" s="592"/>
      <c r="D9" s="606">
        <f>D11</f>
        <v>0</v>
      </c>
      <c r="E9" s="573">
        <f>E11</f>
        <v>8000000</v>
      </c>
      <c r="F9" s="573">
        <f>D9-E9</f>
        <v>-8000000</v>
      </c>
      <c r="G9" s="317"/>
    </row>
    <row r="10" spans="1:7" ht="14.25">
      <c r="A10" s="591"/>
      <c r="B10" s="684"/>
      <c r="C10" s="594">
        <v>5322</v>
      </c>
      <c r="D10" s="610"/>
      <c r="E10" s="581"/>
      <c r="F10" s="581"/>
      <c r="G10" s="500"/>
    </row>
    <row r="11" spans="1:7" ht="20.25" customHeight="1">
      <c r="A11" s="591"/>
      <c r="B11" s="685"/>
      <c r="C11" s="592" t="s">
        <v>1161</v>
      </c>
      <c r="D11" s="611">
        <v>0</v>
      </c>
      <c r="E11" s="582">
        <v>8000000</v>
      </c>
      <c r="F11" s="582">
        <f>D11-E11</f>
        <v>-8000000</v>
      </c>
      <c r="G11" s="317"/>
    </row>
    <row r="12" spans="1:7" ht="14.25">
      <c r="A12" s="591"/>
      <c r="B12" s="590">
        <v>5330</v>
      </c>
      <c r="C12" s="595"/>
      <c r="D12" s="610"/>
      <c r="E12" s="577"/>
      <c r="F12" s="577"/>
      <c r="G12" s="577"/>
    </row>
    <row r="13" spans="1:7" ht="20.25" customHeight="1">
      <c r="A13" s="591"/>
      <c r="B13" s="684" t="s">
        <v>1162</v>
      </c>
      <c r="C13" s="592"/>
      <c r="D13" s="606">
        <f>D15</f>
        <v>2417760000</v>
      </c>
      <c r="E13" s="573">
        <f>E15</f>
        <v>2417760000</v>
      </c>
      <c r="F13" s="573">
        <f>D13-E13</f>
        <v>0</v>
      </c>
      <c r="G13" s="573"/>
    </row>
    <row r="14" spans="1:7" ht="14.25">
      <c r="A14" s="591"/>
      <c r="B14" s="591"/>
      <c r="C14" s="594">
        <v>5339</v>
      </c>
      <c r="D14" s="609"/>
      <c r="E14" s="577"/>
      <c r="F14" s="577"/>
      <c r="G14" s="577"/>
    </row>
    <row r="15" spans="1:7" ht="20.25" customHeight="1">
      <c r="A15" s="352"/>
      <c r="B15" s="352"/>
      <c r="C15" s="592" t="s">
        <v>1163</v>
      </c>
      <c r="D15" s="611">
        <v>2417760000</v>
      </c>
      <c r="E15" s="582">
        <v>2417760000</v>
      </c>
      <c r="F15" s="582">
        <f>D15-E15</f>
        <v>0</v>
      </c>
      <c r="G15" s="573"/>
    </row>
    <row r="16" spans="1:7" ht="14.25">
      <c r="A16" s="590">
        <v>5400</v>
      </c>
      <c r="B16" s="686"/>
      <c r="C16" s="595"/>
      <c r="D16" s="610"/>
      <c r="E16" s="577"/>
      <c r="F16" s="577"/>
      <c r="G16" s="577"/>
    </row>
    <row r="17" spans="1:7" ht="20.25" customHeight="1">
      <c r="A17" s="684" t="s">
        <v>1164</v>
      </c>
      <c r="B17" s="685"/>
      <c r="C17" s="592"/>
      <c r="D17" s="606">
        <f>D19+D23</f>
        <v>95000000</v>
      </c>
      <c r="E17" s="573">
        <f>E19+E23</f>
        <v>95000000</v>
      </c>
      <c r="F17" s="573">
        <f>D17-E17</f>
        <v>0</v>
      </c>
      <c r="G17" s="573"/>
    </row>
    <row r="18" spans="1:7" ht="14.25">
      <c r="A18" s="591"/>
      <c r="B18" s="590">
        <v>5410</v>
      </c>
      <c r="C18" s="595"/>
      <c r="D18" s="609"/>
      <c r="E18" s="577"/>
      <c r="F18" s="577"/>
      <c r="G18" s="577"/>
    </row>
    <row r="19" spans="1:7" ht="20.25" customHeight="1">
      <c r="A19" s="591"/>
      <c r="B19" s="684" t="s">
        <v>1165</v>
      </c>
      <c r="C19" s="592"/>
      <c r="D19" s="606">
        <f>D21</f>
        <v>75000000</v>
      </c>
      <c r="E19" s="573">
        <f>E21</f>
        <v>75000000</v>
      </c>
      <c r="F19" s="573">
        <f>D19-E19</f>
        <v>0</v>
      </c>
      <c r="G19" s="573"/>
    </row>
    <row r="20" spans="1:7" ht="14.25">
      <c r="A20" s="591"/>
      <c r="B20" s="591"/>
      <c r="C20" s="594">
        <v>5411</v>
      </c>
      <c r="D20" s="609"/>
      <c r="E20" s="577"/>
      <c r="F20" s="577"/>
      <c r="G20" s="577"/>
    </row>
    <row r="21" spans="1:7" ht="20.25" customHeight="1">
      <c r="A21" s="591"/>
      <c r="B21" s="352"/>
      <c r="C21" s="592" t="s">
        <v>1166</v>
      </c>
      <c r="D21" s="611">
        <v>75000000</v>
      </c>
      <c r="E21" s="582">
        <v>75000000</v>
      </c>
      <c r="F21" s="582">
        <f>D21-E21</f>
        <v>0</v>
      </c>
      <c r="G21" s="573"/>
    </row>
    <row r="22" spans="1:7" ht="14.25">
      <c r="A22" s="591"/>
      <c r="B22" s="590">
        <v>5420</v>
      </c>
      <c r="C22" s="594"/>
      <c r="D22" s="612"/>
      <c r="E22" s="574"/>
      <c r="F22" s="574"/>
      <c r="G22" s="574"/>
    </row>
    <row r="23" spans="1:7" ht="20.25" customHeight="1">
      <c r="A23" s="591"/>
      <c r="B23" s="684" t="s">
        <v>1167</v>
      </c>
      <c r="C23" s="592"/>
      <c r="D23" s="606">
        <f>D25</f>
        <v>20000000</v>
      </c>
      <c r="E23" s="573">
        <f>E25</f>
        <v>20000000</v>
      </c>
      <c r="F23" s="573">
        <f>D23-E23</f>
        <v>0</v>
      </c>
      <c r="G23" s="573"/>
    </row>
    <row r="24" spans="1:7" ht="14.25">
      <c r="A24" s="591"/>
      <c r="B24" s="591"/>
      <c r="C24" s="594">
        <v>5421</v>
      </c>
      <c r="D24" s="609"/>
      <c r="E24" s="577"/>
      <c r="F24" s="577"/>
      <c r="G24" s="577"/>
    </row>
    <row r="25" spans="1:7" ht="20.25" customHeight="1">
      <c r="A25" s="352"/>
      <c r="B25" s="352"/>
      <c r="C25" s="592" t="s">
        <v>1155</v>
      </c>
      <c r="D25" s="611">
        <v>20000000</v>
      </c>
      <c r="E25" s="582">
        <v>20000000</v>
      </c>
      <c r="F25" s="582">
        <f>D25-E25</f>
        <v>0</v>
      </c>
      <c r="G25" s="573"/>
    </row>
    <row r="26" spans="1:7" ht="14.25">
      <c r="A26" s="686" t="s">
        <v>1168</v>
      </c>
      <c r="B26" s="361"/>
      <c r="C26" s="362"/>
      <c r="D26" s="616">
        <f>D28</f>
        <v>552835169</v>
      </c>
      <c r="E26" s="588">
        <f>E28</f>
        <v>665636130</v>
      </c>
      <c r="F26" s="588">
        <f>D26-E26</f>
        <v>-112800961</v>
      </c>
      <c r="G26" s="588"/>
    </row>
    <row r="27" spans="1:7" ht="14.25">
      <c r="A27" s="697" t="s">
        <v>1156</v>
      </c>
      <c r="B27" s="377">
        <v>1100</v>
      </c>
      <c r="C27" s="362"/>
      <c r="D27" s="616"/>
      <c r="E27" s="588"/>
      <c r="F27" s="588"/>
      <c r="G27" s="588"/>
    </row>
    <row r="28" spans="1:7" ht="20.25" customHeight="1">
      <c r="A28" s="601"/>
      <c r="B28" s="1085" t="s">
        <v>1157</v>
      </c>
      <c r="C28" s="362"/>
      <c r="D28" s="622">
        <f>D30</f>
        <v>552835169</v>
      </c>
      <c r="E28" s="584">
        <f>E30</f>
        <v>665636130</v>
      </c>
      <c r="F28" s="584">
        <f>D28-E28</f>
        <v>-112800961</v>
      </c>
      <c r="G28" s="584"/>
    </row>
    <row r="29" spans="1:7" ht="14.25">
      <c r="A29" s="591"/>
      <c r="B29" s="1079"/>
      <c r="C29" s="594">
        <v>1100</v>
      </c>
      <c r="D29" s="609"/>
      <c r="E29" s="577"/>
      <c r="F29" s="577"/>
      <c r="G29" s="577"/>
    </row>
    <row r="30" spans="1:7" ht="20.25" customHeight="1">
      <c r="A30" s="591"/>
      <c r="B30" s="352"/>
      <c r="C30" s="592" t="s">
        <v>1157</v>
      </c>
      <c r="D30" s="606">
        <v>552835169</v>
      </c>
      <c r="E30" s="573">
        <v>665636130</v>
      </c>
      <c r="F30" s="573">
        <f>D30-E30</f>
        <v>-112800961</v>
      </c>
      <c r="G30" s="573"/>
    </row>
    <row r="31" spans="1:7" ht="20.25" customHeight="1">
      <c r="A31" s="1076" t="s">
        <v>1158</v>
      </c>
      <c r="B31" s="1076"/>
      <c r="C31" s="1076"/>
      <c r="D31" s="432">
        <f>D26+D17+D7</f>
        <v>3065595169</v>
      </c>
      <c r="E31" s="432">
        <f>E26+E17+E7</f>
        <v>3186396130</v>
      </c>
      <c r="F31" s="333">
        <f>D31-E31</f>
        <v>-120800961</v>
      </c>
      <c r="G31" s="333"/>
    </row>
  </sheetData>
  <mergeCells count="7">
    <mergeCell ref="B28:B29"/>
    <mergeCell ref="A31:C31"/>
    <mergeCell ref="A1:G1"/>
    <mergeCell ref="A2:G2"/>
    <mergeCell ref="A3:G3"/>
    <mergeCell ref="A4:C4"/>
    <mergeCell ref="G4:G5"/>
  </mergeCells>
  <printOptions/>
  <pageMargins left="0.7086614173228347" right="0.7086614173228347" top="0.5511811023622047" bottom="0.5118110236220472" header="0.31496062992125984" footer="0.31496062992125984"/>
  <pageSetup horizontalDpi="600" verticalDpi="600" orientation="landscape" paperSize="9" r:id="rId2"/>
  <headerFooter>
    <oddHeader>&amp;L&amp;"굴림체,보통"&amp;9&lt;별지제2호서식&gt;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D37" sqref="D37"/>
    </sheetView>
  </sheetViews>
  <sheetFormatPr defaultColWidth="9.00390625" defaultRowHeight="14.25"/>
  <cols>
    <col min="1" max="16384" width="9.00390625" style="70" customWidth="1"/>
  </cols>
  <sheetData>
    <row r="9" ht="49.5" customHeight="1"/>
    <row r="10" spans="1:91" ht="51" customHeight="1">
      <c r="A10" s="990" t="s">
        <v>313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</sheetData>
  <mergeCells count="1"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 topLeftCell="A76">
      <selection activeCell="C104" sqref="C104"/>
    </sheetView>
  </sheetViews>
  <sheetFormatPr defaultColWidth="9.00390625" defaultRowHeight="14.25"/>
  <cols>
    <col min="1" max="1" width="12.625" style="69" customWidth="1"/>
    <col min="2" max="2" width="14.50390625" style="69" customWidth="1"/>
    <col min="3" max="3" width="16.50390625" style="9" customWidth="1"/>
    <col min="4" max="4" width="20.50390625" style="9" customWidth="1"/>
    <col min="5" max="5" width="20.375" style="9" customWidth="1"/>
    <col min="6" max="6" width="19.625" style="9" customWidth="1"/>
    <col min="7" max="7" width="18.50390625" style="9" customWidth="1"/>
    <col min="8" max="256" width="9.00390625" style="9" customWidth="1"/>
    <col min="257" max="257" width="18.25390625" style="9" customWidth="1"/>
    <col min="258" max="258" width="18.375" style="9" customWidth="1"/>
    <col min="259" max="259" width="20.75390625" style="9" customWidth="1"/>
    <col min="260" max="260" width="20.50390625" style="9" customWidth="1"/>
    <col min="261" max="261" width="20.375" style="9" customWidth="1"/>
    <col min="262" max="262" width="19.625" style="9" customWidth="1"/>
    <col min="263" max="263" width="18.50390625" style="9" customWidth="1"/>
    <col min="264" max="512" width="9.00390625" style="9" customWidth="1"/>
    <col min="513" max="513" width="18.25390625" style="9" customWidth="1"/>
    <col min="514" max="514" width="18.375" style="9" customWidth="1"/>
    <col min="515" max="515" width="20.75390625" style="9" customWidth="1"/>
    <col min="516" max="516" width="20.50390625" style="9" customWidth="1"/>
    <col min="517" max="517" width="20.375" style="9" customWidth="1"/>
    <col min="518" max="518" width="19.625" style="9" customWidth="1"/>
    <col min="519" max="519" width="18.50390625" style="9" customWidth="1"/>
    <col min="520" max="768" width="9.00390625" style="9" customWidth="1"/>
    <col min="769" max="769" width="18.25390625" style="9" customWidth="1"/>
    <col min="770" max="770" width="18.375" style="9" customWidth="1"/>
    <col min="771" max="771" width="20.75390625" style="9" customWidth="1"/>
    <col min="772" max="772" width="20.50390625" style="9" customWidth="1"/>
    <col min="773" max="773" width="20.375" style="9" customWidth="1"/>
    <col min="774" max="774" width="19.625" style="9" customWidth="1"/>
    <col min="775" max="775" width="18.50390625" style="9" customWidth="1"/>
    <col min="776" max="1024" width="9.00390625" style="9" customWidth="1"/>
    <col min="1025" max="1025" width="18.25390625" style="9" customWidth="1"/>
    <col min="1026" max="1026" width="18.375" style="9" customWidth="1"/>
    <col min="1027" max="1027" width="20.75390625" style="9" customWidth="1"/>
    <col min="1028" max="1028" width="20.50390625" style="9" customWidth="1"/>
    <col min="1029" max="1029" width="20.375" style="9" customWidth="1"/>
    <col min="1030" max="1030" width="19.625" style="9" customWidth="1"/>
    <col min="1031" max="1031" width="18.50390625" style="9" customWidth="1"/>
    <col min="1032" max="1280" width="9.00390625" style="9" customWidth="1"/>
    <col min="1281" max="1281" width="18.25390625" style="9" customWidth="1"/>
    <col min="1282" max="1282" width="18.375" style="9" customWidth="1"/>
    <col min="1283" max="1283" width="20.75390625" style="9" customWidth="1"/>
    <col min="1284" max="1284" width="20.50390625" style="9" customWidth="1"/>
    <col min="1285" max="1285" width="20.375" style="9" customWidth="1"/>
    <col min="1286" max="1286" width="19.625" style="9" customWidth="1"/>
    <col min="1287" max="1287" width="18.50390625" style="9" customWidth="1"/>
    <col min="1288" max="1536" width="9.00390625" style="9" customWidth="1"/>
    <col min="1537" max="1537" width="18.25390625" style="9" customWidth="1"/>
    <col min="1538" max="1538" width="18.375" style="9" customWidth="1"/>
    <col min="1539" max="1539" width="20.75390625" style="9" customWidth="1"/>
    <col min="1540" max="1540" width="20.50390625" style="9" customWidth="1"/>
    <col min="1541" max="1541" width="20.375" style="9" customWidth="1"/>
    <col min="1542" max="1542" width="19.625" style="9" customWidth="1"/>
    <col min="1543" max="1543" width="18.50390625" style="9" customWidth="1"/>
    <col min="1544" max="1792" width="9.00390625" style="9" customWidth="1"/>
    <col min="1793" max="1793" width="18.25390625" style="9" customWidth="1"/>
    <col min="1794" max="1794" width="18.375" style="9" customWidth="1"/>
    <col min="1795" max="1795" width="20.75390625" style="9" customWidth="1"/>
    <col min="1796" max="1796" width="20.50390625" style="9" customWidth="1"/>
    <col min="1797" max="1797" width="20.375" style="9" customWidth="1"/>
    <col min="1798" max="1798" width="19.625" style="9" customWidth="1"/>
    <col min="1799" max="1799" width="18.50390625" style="9" customWidth="1"/>
    <col min="1800" max="2048" width="9.00390625" style="9" customWidth="1"/>
    <col min="2049" max="2049" width="18.25390625" style="9" customWidth="1"/>
    <col min="2050" max="2050" width="18.375" style="9" customWidth="1"/>
    <col min="2051" max="2051" width="20.75390625" style="9" customWidth="1"/>
    <col min="2052" max="2052" width="20.50390625" style="9" customWidth="1"/>
    <col min="2053" max="2053" width="20.375" style="9" customWidth="1"/>
    <col min="2054" max="2054" width="19.625" style="9" customWidth="1"/>
    <col min="2055" max="2055" width="18.50390625" style="9" customWidth="1"/>
    <col min="2056" max="2304" width="9.00390625" style="9" customWidth="1"/>
    <col min="2305" max="2305" width="18.25390625" style="9" customWidth="1"/>
    <col min="2306" max="2306" width="18.375" style="9" customWidth="1"/>
    <col min="2307" max="2307" width="20.75390625" style="9" customWidth="1"/>
    <col min="2308" max="2308" width="20.50390625" style="9" customWidth="1"/>
    <col min="2309" max="2309" width="20.375" style="9" customWidth="1"/>
    <col min="2310" max="2310" width="19.625" style="9" customWidth="1"/>
    <col min="2311" max="2311" width="18.50390625" style="9" customWidth="1"/>
    <col min="2312" max="2560" width="9.00390625" style="9" customWidth="1"/>
    <col min="2561" max="2561" width="18.25390625" style="9" customWidth="1"/>
    <col min="2562" max="2562" width="18.375" style="9" customWidth="1"/>
    <col min="2563" max="2563" width="20.75390625" style="9" customWidth="1"/>
    <col min="2564" max="2564" width="20.50390625" style="9" customWidth="1"/>
    <col min="2565" max="2565" width="20.375" style="9" customWidth="1"/>
    <col min="2566" max="2566" width="19.625" style="9" customWidth="1"/>
    <col min="2567" max="2567" width="18.50390625" style="9" customWidth="1"/>
    <col min="2568" max="2816" width="9.00390625" style="9" customWidth="1"/>
    <col min="2817" max="2817" width="18.25390625" style="9" customWidth="1"/>
    <col min="2818" max="2818" width="18.375" style="9" customWidth="1"/>
    <col min="2819" max="2819" width="20.75390625" style="9" customWidth="1"/>
    <col min="2820" max="2820" width="20.50390625" style="9" customWidth="1"/>
    <col min="2821" max="2821" width="20.375" style="9" customWidth="1"/>
    <col min="2822" max="2822" width="19.625" style="9" customWidth="1"/>
    <col min="2823" max="2823" width="18.50390625" style="9" customWidth="1"/>
    <col min="2824" max="3072" width="9.00390625" style="9" customWidth="1"/>
    <col min="3073" max="3073" width="18.25390625" style="9" customWidth="1"/>
    <col min="3074" max="3074" width="18.375" style="9" customWidth="1"/>
    <col min="3075" max="3075" width="20.75390625" style="9" customWidth="1"/>
    <col min="3076" max="3076" width="20.50390625" style="9" customWidth="1"/>
    <col min="3077" max="3077" width="20.375" style="9" customWidth="1"/>
    <col min="3078" max="3078" width="19.625" style="9" customWidth="1"/>
    <col min="3079" max="3079" width="18.50390625" style="9" customWidth="1"/>
    <col min="3080" max="3328" width="9.00390625" style="9" customWidth="1"/>
    <col min="3329" max="3329" width="18.25390625" style="9" customWidth="1"/>
    <col min="3330" max="3330" width="18.375" style="9" customWidth="1"/>
    <col min="3331" max="3331" width="20.75390625" style="9" customWidth="1"/>
    <col min="3332" max="3332" width="20.50390625" style="9" customWidth="1"/>
    <col min="3333" max="3333" width="20.375" style="9" customWidth="1"/>
    <col min="3334" max="3334" width="19.625" style="9" customWidth="1"/>
    <col min="3335" max="3335" width="18.50390625" style="9" customWidth="1"/>
    <col min="3336" max="3584" width="9.00390625" style="9" customWidth="1"/>
    <col min="3585" max="3585" width="18.25390625" style="9" customWidth="1"/>
    <col min="3586" max="3586" width="18.375" style="9" customWidth="1"/>
    <col min="3587" max="3587" width="20.75390625" style="9" customWidth="1"/>
    <col min="3588" max="3588" width="20.50390625" style="9" customWidth="1"/>
    <col min="3589" max="3589" width="20.375" style="9" customWidth="1"/>
    <col min="3590" max="3590" width="19.625" style="9" customWidth="1"/>
    <col min="3591" max="3591" width="18.50390625" style="9" customWidth="1"/>
    <col min="3592" max="3840" width="9.00390625" style="9" customWidth="1"/>
    <col min="3841" max="3841" width="18.25390625" style="9" customWidth="1"/>
    <col min="3842" max="3842" width="18.375" style="9" customWidth="1"/>
    <col min="3843" max="3843" width="20.75390625" style="9" customWidth="1"/>
    <col min="3844" max="3844" width="20.50390625" style="9" customWidth="1"/>
    <col min="3845" max="3845" width="20.375" style="9" customWidth="1"/>
    <col min="3846" max="3846" width="19.625" style="9" customWidth="1"/>
    <col min="3847" max="3847" width="18.50390625" style="9" customWidth="1"/>
    <col min="3848" max="4096" width="9.00390625" style="9" customWidth="1"/>
    <col min="4097" max="4097" width="18.25390625" style="9" customWidth="1"/>
    <col min="4098" max="4098" width="18.375" style="9" customWidth="1"/>
    <col min="4099" max="4099" width="20.75390625" style="9" customWidth="1"/>
    <col min="4100" max="4100" width="20.50390625" style="9" customWidth="1"/>
    <col min="4101" max="4101" width="20.375" style="9" customWidth="1"/>
    <col min="4102" max="4102" width="19.625" style="9" customWidth="1"/>
    <col min="4103" max="4103" width="18.50390625" style="9" customWidth="1"/>
    <col min="4104" max="4352" width="9.00390625" style="9" customWidth="1"/>
    <col min="4353" max="4353" width="18.25390625" style="9" customWidth="1"/>
    <col min="4354" max="4354" width="18.375" style="9" customWidth="1"/>
    <col min="4355" max="4355" width="20.75390625" style="9" customWidth="1"/>
    <col min="4356" max="4356" width="20.50390625" style="9" customWidth="1"/>
    <col min="4357" max="4357" width="20.375" style="9" customWidth="1"/>
    <col min="4358" max="4358" width="19.625" style="9" customWidth="1"/>
    <col min="4359" max="4359" width="18.50390625" style="9" customWidth="1"/>
    <col min="4360" max="4608" width="9.00390625" style="9" customWidth="1"/>
    <col min="4609" max="4609" width="18.25390625" style="9" customWidth="1"/>
    <col min="4610" max="4610" width="18.375" style="9" customWidth="1"/>
    <col min="4611" max="4611" width="20.75390625" style="9" customWidth="1"/>
    <col min="4612" max="4612" width="20.50390625" style="9" customWidth="1"/>
    <col min="4613" max="4613" width="20.375" style="9" customWidth="1"/>
    <col min="4614" max="4614" width="19.625" style="9" customWidth="1"/>
    <col min="4615" max="4615" width="18.50390625" style="9" customWidth="1"/>
    <col min="4616" max="4864" width="9.00390625" style="9" customWidth="1"/>
    <col min="4865" max="4865" width="18.25390625" style="9" customWidth="1"/>
    <col min="4866" max="4866" width="18.375" style="9" customWidth="1"/>
    <col min="4867" max="4867" width="20.75390625" style="9" customWidth="1"/>
    <col min="4868" max="4868" width="20.50390625" style="9" customWidth="1"/>
    <col min="4869" max="4869" width="20.375" style="9" customWidth="1"/>
    <col min="4870" max="4870" width="19.625" style="9" customWidth="1"/>
    <col min="4871" max="4871" width="18.50390625" style="9" customWidth="1"/>
    <col min="4872" max="5120" width="9.00390625" style="9" customWidth="1"/>
    <col min="5121" max="5121" width="18.25390625" style="9" customWidth="1"/>
    <col min="5122" max="5122" width="18.375" style="9" customWidth="1"/>
    <col min="5123" max="5123" width="20.75390625" style="9" customWidth="1"/>
    <col min="5124" max="5124" width="20.50390625" style="9" customWidth="1"/>
    <col min="5125" max="5125" width="20.375" style="9" customWidth="1"/>
    <col min="5126" max="5126" width="19.625" style="9" customWidth="1"/>
    <col min="5127" max="5127" width="18.50390625" style="9" customWidth="1"/>
    <col min="5128" max="5376" width="9.00390625" style="9" customWidth="1"/>
    <col min="5377" max="5377" width="18.25390625" style="9" customWidth="1"/>
    <col min="5378" max="5378" width="18.375" style="9" customWidth="1"/>
    <col min="5379" max="5379" width="20.75390625" style="9" customWidth="1"/>
    <col min="5380" max="5380" width="20.50390625" style="9" customWidth="1"/>
    <col min="5381" max="5381" width="20.375" style="9" customWidth="1"/>
    <col min="5382" max="5382" width="19.625" style="9" customWidth="1"/>
    <col min="5383" max="5383" width="18.50390625" style="9" customWidth="1"/>
    <col min="5384" max="5632" width="9.00390625" style="9" customWidth="1"/>
    <col min="5633" max="5633" width="18.25390625" style="9" customWidth="1"/>
    <col min="5634" max="5634" width="18.375" style="9" customWidth="1"/>
    <col min="5635" max="5635" width="20.75390625" style="9" customWidth="1"/>
    <col min="5636" max="5636" width="20.50390625" style="9" customWidth="1"/>
    <col min="5637" max="5637" width="20.375" style="9" customWidth="1"/>
    <col min="5638" max="5638" width="19.625" style="9" customWidth="1"/>
    <col min="5639" max="5639" width="18.50390625" style="9" customWidth="1"/>
    <col min="5640" max="5888" width="9.00390625" style="9" customWidth="1"/>
    <col min="5889" max="5889" width="18.25390625" style="9" customWidth="1"/>
    <col min="5890" max="5890" width="18.375" style="9" customWidth="1"/>
    <col min="5891" max="5891" width="20.75390625" style="9" customWidth="1"/>
    <col min="5892" max="5892" width="20.50390625" style="9" customWidth="1"/>
    <col min="5893" max="5893" width="20.375" style="9" customWidth="1"/>
    <col min="5894" max="5894" width="19.625" style="9" customWidth="1"/>
    <col min="5895" max="5895" width="18.50390625" style="9" customWidth="1"/>
    <col min="5896" max="6144" width="9.00390625" style="9" customWidth="1"/>
    <col min="6145" max="6145" width="18.25390625" style="9" customWidth="1"/>
    <col min="6146" max="6146" width="18.375" style="9" customWidth="1"/>
    <col min="6147" max="6147" width="20.75390625" style="9" customWidth="1"/>
    <col min="6148" max="6148" width="20.50390625" style="9" customWidth="1"/>
    <col min="6149" max="6149" width="20.375" style="9" customWidth="1"/>
    <col min="6150" max="6150" width="19.625" style="9" customWidth="1"/>
    <col min="6151" max="6151" width="18.50390625" style="9" customWidth="1"/>
    <col min="6152" max="6400" width="9.00390625" style="9" customWidth="1"/>
    <col min="6401" max="6401" width="18.25390625" style="9" customWidth="1"/>
    <col min="6402" max="6402" width="18.375" style="9" customWidth="1"/>
    <col min="6403" max="6403" width="20.75390625" style="9" customWidth="1"/>
    <col min="6404" max="6404" width="20.50390625" style="9" customWidth="1"/>
    <col min="6405" max="6405" width="20.375" style="9" customWidth="1"/>
    <col min="6406" max="6406" width="19.625" style="9" customWidth="1"/>
    <col min="6407" max="6407" width="18.50390625" style="9" customWidth="1"/>
    <col min="6408" max="6656" width="9.00390625" style="9" customWidth="1"/>
    <col min="6657" max="6657" width="18.25390625" style="9" customWidth="1"/>
    <col min="6658" max="6658" width="18.375" style="9" customWidth="1"/>
    <col min="6659" max="6659" width="20.75390625" style="9" customWidth="1"/>
    <col min="6660" max="6660" width="20.50390625" style="9" customWidth="1"/>
    <col min="6661" max="6661" width="20.375" style="9" customWidth="1"/>
    <col min="6662" max="6662" width="19.625" style="9" customWidth="1"/>
    <col min="6663" max="6663" width="18.50390625" style="9" customWidth="1"/>
    <col min="6664" max="6912" width="9.00390625" style="9" customWidth="1"/>
    <col min="6913" max="6913" width="18.25390625" style="9" customWidth="1"/>
    <col min="6914" max="6914" width="18.375" style="9" customWidth="1"/>
    <col min="6915" max="6915" width="20.75390625" style="9" customWidth="1"/>
    <col min="6916" max="6916" width="20.50390625" style="9" customWidth="1"/>
    <col min="6917" max="6917" width="20.375" style="9" customWidth="1"/>
    <col min="6918" max="6918" width="19.625" style="9" customWidth="1"/>
    <col min="6919" max="6919" width="18.50390625" style="9" customWidth="1"/>
    <col min="6920" max="7168" width="9.00390625" style="9" customWidth="1"/>
    <col min="7169" max="7169" width="18.25390625" style="9" customWidth="1"/>
    <col min="7170" max="7170" width="18.375" style="9" customWidth="1"/>
    <col min="7171" max="7171" width="20.75390625" style="9" customWidth="1"/>
    <col min="7172" max="7172" width="20.50390625" style="9" customWidth="1"/>
    <col min="7173" max="7173" width="20.375" style="9" customWidth="1"/>
    <col min="7174" max="7174" width="19.625" style="9" customWidth="1"/>
    <col min="7175" max="7175" width="18.50390625" style="9" customWidth="1"/>
    <col min="7176" max="7424" width="9.00390625" style="9" customWidth="1"/>
    <col min="7425" max="7425" width="18.25390625" style="9" customWidth="1"/>
    <col min="7426" max="7426" width="18.375" style="9" customWidth="1"/>
    <col min="7427" max="7427" width="20.75390625" style="9" customWidth="1"/>
    <col min="7428" max="7428" width="20.50390625" style="9" customWidth="1"/>
    <col min="7429" max="7429" width="20.375" style="9" customWidth="1"/>
    <col min="7430" max="7430" width="19.625" style="9" customWidth="1"/>
    <col min="7431" max="7431" width="18.50390625" style="9" customWidth="1"/>
    <col min="7432" max="7680" width="9.00390625" style="9" customWidth="1"/>
    <col min="7681" max="7681" width="18.25390625" style="9" customWidth="1"/>
    <col min="7682" max="7682" width="18.375" style="9" customWidth="1"/>
    <col min="7683" max="7683" width="20.75390625" style="9" customWidth="1"/>
    <col min="7684" max="7684" width="20.50390625" style="9" customWidth="1"/>
    <col min="7685" max="7685" width="20.375" style="9" customWidth="1"/>
    <col min="7686" max="7686" width="19.625" style="9" customWidth="1"/>
    <col min="7687" max="7687" width="18.50390625" style="9" customWidth="1"/>
    <col min="7688" max="7936" width="9.00390625" style="9" customWidth="1"/>
    <col min="7937" max="7937" width="18.25390625" style="9" customWidth="1"/>
    <col min="7938" max="7938" width="18.375" style="9" customWidth="1"/>
    <col min="7939" max="7939" width="20.75390625" style="9" customWidth="1"/>
    <col min="7940" max="7940" width="20.50390625" style="9" customWidth="1"/>
    <col min="7941" max="7941" width="20.375" style="9" customWidth="1"/>
    <col min="7942" max="7942" width="19.625" style="9" customWidth="1"/>
    <col min="7943" max="7943" width="18.50390625" style="9" customWidth="1"/>
    <col min="7944" max="8192" width="9.00390625" style="9" customWidth="1"/>
    <col min="8193" max="8193" width="18.25390625" style="9" customWidth="1"/>
    <col min="8194" max="8194" width="18.375" style="9" customWidth="1"/>
    <col min="8195" max="8195" width="20.75390625" style="9" customWidth="1"/>
    <col min="8196" max="8196" width="20.50390625" style="9" customWidth="1"/>
    <col min="8197" max="8197" width="20.375" style="9" customWidth="1"/>
    <col min="8198" max="8198" width="19.625" style="9" customWidth="1"/>
    <col min="8199" max="8199" width="18.50390625" style="9" customWidth="1"/>
    <col min="8200" max="8448" width="9.00390625" style="9" customWidth="1"/>
    <col min="8449" max="8449" width="18.25390625" style="9" customWidth="1"/>
    <col min="8450" max="8450" width="18.375" style="9" customWidth="1"/>
    <col min="8451" max="8451" width="20.75390625" style="9" customWidth="1"/>
    <col min="8452" max="8452" width="20.50390625" style="9" customWidth="1"/>
    <col min="8453" max="8453" width="20.375" style="9" customWidth="1"/>
    <col min="8454" max="8454" width="19.625" style="9" customWidth="1"/>
    <col min="8455" max="8455" width="18.50390625" style="9" customWidth="1"/>
    <col min="8456" max="8704" width="9.00390625" style="9" customWidth="1"/>
    <col min="8705" max="8705" width="18.25390625" style="9" customWidth="1"/>
    <col min="8706" max="8706" width="18.375" style="9" customWidth="1"/>
    <col min="8707" max="8707" width="20.75390625" style="9" customWidth="1"/>
    <col min="8708" max="8708" width="20.50390625" style="9" customWidth="1"/>
    <col min="8709" max="8709" width="20.375" style="9" customWidth="1"/>
    <col min="8710" max="8710" width="19.625" style="9" customWidth="1"/>
    <col min="8711" max="8711" width="18.50390625" style="9" customWidth="1"/>
    <col min="8712" max="8960" width="9.00390625" style="9" customWidth="1"/>
    <col min="8961" max="8961" width="18.25390625" style="9" customWidth="1"/>
    <col min="8962" max="8962" width="18.375" style="9" customWidth="1"/>
    <col min="8963" max="8963" width="20.75390625" style="9" customWidth="1"/>
    <col min="8964" max="8964" width="20.50390625" style="9" customWidth="1"/>
    <col min="8965" max="8965" width="20.375" style="9" customWidth="1"/>
    <col min="8966" max="8966" width="19.625" style="9" customWidth="1"/>
    <col min="8967" max="8967" width="18.50390625" style="9" customWidth="1"/>
    <col min="8968" max="9216" width="9.00390625" style="9" customWidth="1"/>
    <col min="9217" max="9217" width="18.25390625" style="9" customWidth="1"/>
    <col min="9218" max="9218" width="18.375" style="9" customWidth="1"/>
    <col min="9219" max="9219" width="20.75390625" style="9" customWidth="1"/>
    <col min="9220" max="9220" width="20.50390625" style="9" customWidth="1"/>
    <col min="9221" max="9221" width="20.375" style="9" customWidth="1"/>
    <col min="9222" max="9222" width="19.625" style="9" customWidth="1"/>
    <col min="9223" max="9223" width="18.50390625" style="9" customWidth="1"/>
    <col min="9224" max="9472" width="9.00390625" style="9" customWidth="1"/>
    <col min="9473" max="9473" width="18.25390625" style="9" customWidth="1"/>
    <col min="9474" max="9474" width="18.375" style="9" customWidth="1"/>
    <col min="9475" max="9475" width="20.75390625" style="9" customWidth="1"/>
    <col min="9476" max="9476" width="20.50390625" style="9" customWidth="1"/>
    <col min="9477" max="9477" width="20.375" style="9" customWidth="1"/>
    <col min="9478" max="9478" width="19.625" style="9" customWidth="1"/>
    <col min="9479" max="9479" width="18.50390625" style="9" customWidth="1"/>
    <col min="9480" max="9728" width="9.00390625" style="9" customWidth="1"/>
    <col min="9729" max="9729" width="18.25390625" style="9" customWidth="1"/>
    <col min="9730" max="9730" width="18.375" style="9" customWidth="1"/>
    <col min="9731" max="9731" width="20.75390625" style="9" customWidth="1"/>
    <col min="9732" max="9732" width="20.50390625" style="9" customWidth="1"/>
    <col min="9733" max="9733" width="20.375" style="9" customWidth="1"/>
    <col min="9734" max="9734" width="19.625" style="9" customWidth="1"/>
    <col min="9735" max="9735" width="18.50390625" style="9" customWidth="1"/>
    <col min="9736" max="9984" width="9.00390625" style="9" customWidth="1"/>
    <col min="9985" max="9985" width="18.25390625" style="9" customWidth="1"/>
    <col min="9986" max="9986" width="18.375" style="9" customWidth="1"/>
    <col min="9987" max="9987" width="20.75390625" style="9" customWidth="1"/>
    <col min="9988" max="9988" width="20.50390625" style="9" customWidth="1"/>
    <col min="9989" max="9989" width="20.375" style="9" customWidth="1"/>
    <col min="9990" max="9990" width="19.625" style="9" customWidth="1"/>
    <col min="9991" max="9991" width="18.50390625" style="9" customWidth="1"/>
    <col min="9992" max="10240" width="9.00390625" style="9" customWidth="1"/>
    <col min="10241" max="10241" width="18.25390625" style="9" customWidth="1"/>
    <col min="10242" max="10242" width="18.375" style="9" customWidth="1"/>
    <col min="10243" max="10243" width="20.75390625" style="9" customWidth="1"/>
    <col min="10244" max="10244" width="20.50390625" style="9" customWidth="1"/>
    <col min="10245" max="10245" width="20.375" style="9" customWidth="1"/>
    <col min="10246" max="10246" width="19.625" style="9" customWidth="1"/>
    <col min="10247" max="10247" width="18.50390625" style="9" customWidth="1"/>
    <col min="10248" max="10496" width="9.00390625" style="9" customWidth="1"/>
    <col min="10497" max="10497" width="18.25390625" style="9" customWidth="1"/>
    <col min="10498" max="10498" width="18.375" style="9" customWidth="1"/>
    <col min="10499" max="10499" width="20.75390625" style="9" customWidth="1"/>
    <col min="10500" max="10500" width="20.50390625" style="9" customWidth="1"/>
    <col min="10501" max="10501" width="20.375" style="9" customWidth="1"/>
    <col min="10502" max="10502" width="19.625" style="9" customWidth="1"/>
    <col min="10503" max="10503" width="18.50390625" style="9" customWidth="1"/>
    <col min="10504" max="10752" width="9.00390625" style="9" customWidth="1"/>
    <col min="10753" max="10753" width="18.25390625" style="9" customWidth="1"/>
    <col min="10754" max="10754" width="18.375" style="9" customWidth="1"/>
    <col min="10755" max="10755" width="20.75390625" style="9" customWidth="1"/>
    <col min="10756" max="10756" width="20.50390625" style="9" customWidth="1"/>
    <col min="10757" max="10757" width="20.375" style="9" customWidth="1"/>
    <col min="10758" max="10758" width="19.625" style="9" customWidth="1"/>
    <col min="10759" max="10759" width="18.50390625" style="9" customWidth="1"/>
    <col min="10760" max="11008" width="9.00390625" style="9" customWidth="1"/>
    <col min="11009" max="11009" width="18.25390625" style="9" customWidth="1"/>
    <col min="11010" max="11010" width="18.375" style="9" customWidth="1"/>
    <col min="11011" max="11011" width="20.75390625" style="9" customWidth="1"/>
    <col min="11012" max="11012" width="20.50390625" style="9" customWidth="1"/>
    <col min="11013" max="11013" width="20.375" style="9" customWidth="1"/>
    <col min="11014" max="11014" width="19.625" style="9" customWidth="1"/>
    <col min="11015" max="11015" width="18.50390625" style="9" customWidth="1"/>
    <col min="11016" max="11264" width="9.00390625" style="9" customWidth="1"/>
    <col min="11265" max="11265" width="18.25390625" style="9" customWidth="1"/>
    <col min="11266" max="11266" width="18.375" style="9" customWidth="1"/>
    <col min="11267" max="11267" width="20.75390625" style="9" customWidth="1"/>
    <col min="11268" max="11268" width="20.50390625" style="9" customWidth="1"/>
    <col min="11269" max="11269" width="20.375" style="9" customWidth="1"/>
    <col min="11270" max="11270" width="19.625" style="9" customWidth="1"/>
    <col min="11271" max="11271" width="18.50390625" style="9" customWidth="1"/>
    <col min="11272" max="11520" width="9.00390625" style="9" customWidth="1"/>
    <col min="11521" max="11521" width="18.25390625" style="9" customWidth="1"/>
    <col min="11522" max="11522" width="18.375" style="9" customWidth="1"/>
    <col min="11523" max="11523" width="20.75390625" style="9" customWidth="1"/>
    <col min="11524" max="11524" width="20.50390625" style="9" customWidth="1"/>
    <col min="11525" max="11525" width="20.375" style="9" customWidth="1"/>
    <col min="11526" max="11526" width="19.625" style="9" customWidth="1"/>
    <col min="11527" max="11527" width="18.50390625" style="9" customWidth="1"/>
    <col min="11528" max="11776" width="9.00390625" style="9" customWidth="1"/>
    <col min="11777" max="11777" width="18.25390625" style="9" customWidth="1"/>
    <col min="11778" max="11778" width="18.375" style="9" customWidth="1"/>
    <col min="11779" max="11779" width="20.75390625" style="9" customWidth="1"/>
    <col min="11780" max="11780" width="20.50390625" style="9" customWidth="1"/>
    <col min="11781" max="11781" width="20.375" style="9" customWidth="1"/>
    <col min="11782" max="11782" width="19.625" style="9" customWidth="1"/>
    <col min="11783" max="11783" width="18.50390625" style="9" customWidth="1"/>
    <col min="11784" max="12032" width="9.00390625" style="9" customWidth="1"/>
    <col min="12033" max="12033" width="18.25390625" style="9" customWidth="1"/>
    <col min="12034" max="12034" width="18.375" style="9" customWidth="1"/>
    <col min="12035" max="12035" width="20.75390625" style="9" customWidth="1"/>
    <col min="12036" max="12036" width="20.50390625" style="9" customWidth="1"/>
    <col min="12037" max="12037" width="20.375" style="9" customWidth="1"/>
    <col min="12038" max="12038" width="19.625" style="9" customWidth="1"/>
    <col min="12039" max="12039" width="18.50390625" style="9" customWidth="1"/>
    <col min="12040" max="12288" width="9.00390625" style="9" customWidth="1"/>
    <col min="12289" max="12289" width="18.25390625" style="9" customWidth="1"/>
    <col min="12290" max="12290" width="18.375" style="9" customWidth="1"/>
    <col min="12291" max="12291" width="20.75390625" style="9" customWidth="1"/>
    <col min="12292" max="12292" width="20.50390625" style="9" customWidth="1"/>
    <col min="12293" max="12293" width="20.375" style="9" customWidth="1"/>
    <col min="12294" max="12294" width="19.625" style="9" customWidth="1"/>
    <col min="12295" max="12295" width="18.50390625" style="9" customWidth="1"/>
    <col min="12296" max="12544" width="9.00390625" style="9" customWidth="1"/>
    <col min="12545" max="12545" width="18.25390625" style="9" customWidth="1"/>
    <col min="12546" max="12546" width="18.375" style="9" customWidth="1"/>
    <col min="12547" max="12547" width="20.75390625" style="9" customWidth="1"/>
    <col min="12548" max="12548" width="20.50390625" style="9" customWidth="1"/>
    <col min="12549" max="12549" width="20.375" style="9" customWidth="1"/>
    <col min="12550" max="12550" width="19.625" style="9" customWidth="1"/>
    <col min="12551" max="12551" width="18.50390625" style="9" customWidth="1"/>
    <col min="12552" max="12800" width="9.00390625" style="9" customWidth="1"/>
    <col min="12801" max="12801" width="18.25390625" style="9" customWidth="1"/>
    <col min="12802" max="12802" width="18.375" style="9" customWidth="1"/>
    <col min="12803" max="12803" width="20.75390625" style="9" customWidth="1"/>
    <col min="12804" max="12804" width="20.50390625" style="9" customWidth="1"/>
    <col min="12805" max="12805" width="20.375" style="9" customWidth="1"/>
    <col min="12806" max="12806" width="19.625" style="9" customWidth="1"/>
    <col min="12807" max="12807" width="18.50390625" style="9" customWidth="1"/>
    <col min="12808" max="13056" width="9.00390625" style="9" customWidth="1"/>
    <col min="13057" max="13057" width="18.25390625" style="9" customWidth="1"/>
    <col min="13058" max="13058" width="18.375" style="9" customWidth="1"/>
    <col min="13059" max="13059" width="20.75390625" style="9" customWidth="1"/>
    <col min="13060" max="13060" width="20.50390625" style="9" customWidth="1"/>
    <col min="13061" max="13061" width="20.375" style="9" customWidth="1"/>
    <col min="13062" max="13062" width="19.625" style="9" customWidth="1"/>
    <col min="13063" max="13063" width="18.50390625" style="9" customWidth="1"/>
    <col min="13064" max="13312" width="9.00390625" style="9" customWidth="1"/>
    <col min="13313" max="13313" width="18.25390625" style="9" customWidth="1"/>
    <col min="13314" max="13314" width="18.375" style="9" customWidth="1"/>
    <col min="13315" max="13315" width="20.75390625" style="9" customWidth="1"/>
    <col min="13316" max="13316" width="20.50390625" style="9" customWidth="1"/>
    <col min="13317" max="13317" width="20.375" style="9" customWidth="1"/>
    <col min="13318" max="13318" width="19.625" style="9" customWidth="1"/>
    <col min="13319" max="13319" width="18.50390625" style="9" customWidth="1"/>
    <col min="13320" max="13568" width="9.00390625" style="9" customWidth="1"/>
    <col min="13569" max="13569" width="18.25390625" style="9" customWidth="1"/>
    <col min="13570" max="13570" width="18.375" style="9" customWidth="1"/>
    <col min="13571" max="13571" width="20.75390625" style="9" customWidth="1"/>
    <col min="13572" max="13572" width="20.50390625" style="9" customWidth="1"/>
    <col min="13573" max="13573" width="20.375" style="9" customWidth="1"/>
    <col min="13574" max="13574" width="19.625" style="9" customWidth="1"/>
    <col min="13575" max="13575" width="18.50390625" style="9" customWidth="1"/>
    <col min="13576" max="13824" width="9.00390625" style="9" customWidth="1"/>
    <col min="13825" max="13825" width="18.25390625" style="9" customWidth="1"/>
    <col min="13826" max="13826" width="18.375" style="9" customWidth="1"/>
    <col min="13827" max="13827" width="20.75390625" style="9" customWidth="1"/>
    <col min="13828" max="13828" width="20.50390625" style="9" customWidth="1"/>
    <col min="13829" max="13829" width="20.375" style="9" customWidth="1"/>
    <col min="13830" max="13830" width="19.625" style="9" customWidth="1"/>
    <col min="13831" max="13831" width="18.50390625" style="9" customWidth="1"/>
    <col min="13832" max="14080" width="9.00390625" style="9" customWidth="1"/>
    <col min="14081" max="14081" width="18.25390625" style="9" customWidth="1"/>
    <col min="14082" max="14082" width="18.375" style="9" customWidth="1"/>
    <col min="14083" max="14083" width="20.75390625" style="9" customWidth="1"/>
    <col min="14084" max="14084" width="20.50390625" style="9" customWidth="1"/>
    <col min="14085" max="14085" width="20.375" style="9" customWidth="1"/>
    <col min="14086" max="14086" width="19.625" style="9" customWidth="1"/>
    <col min="14087" max="14087" width="18.50390625" style="9" customWidth="1"/>
    <col min="14088" max="14336" width="9.00390625" style="9" customWidth="1"/>
    <col min="14337" max="14337" width="18.25390625" style="9" customWidth="1"/>
    <col min="14338" max="14338" width="18.375" style="9" customWidth="1"/>
    <col min="14339" max="14339" width="20.75390625" style="9" customWidth="1"/>
    <col min="14340" max="14340" width="20.50390625" style="9" customWidth="1"/>
    <col min="14341" max="14341" width="20.375" style="9" customWidth="1"/>
    <col min="14342" max="14342" width="19.625" style="9" customWidth="1"/>
    <col min="14343" max="14343" width="18.50390625" style="9" customWidth="1"/>
    <col min="14344" max="14592" width="9.00390625" style="9" customWidth="1"/>
    <col min="14593" max="14593" width="18.25390625" style="9" customWidth="1"/>
    <col min="14594" max="14594" width="18.375" style="9" customWidth="1"/>
    <col min="14595" max="14595" width="20.75390625" style="9" customWidth="1"/>
    <col min="14596" max="14596" width="20.50390625" style="9" customWidth="1"/>
    <col min="14597" max="14597" width="20.375" style="9" customWidth="1"/>
    <col min="14598" max="14598" width="19.625" style="9" customWidth="1"/>
    <col min="14599" max="14599" width="18.50390625" style="9" customWidth="1"/>
    <col min="14600" max="14848" width="9.00390625" style="9" customWidth="1"/>
    <col min="14849" max="14849" width="18.25390625" style="9" customWidth="1"/>
    <col min="14850" max="14850" width="18.375" style="9" customWidth="1"/>
    <col min="14851" max="14851" width="20.75390625" style="9" customWidth="1"/>
    <col min="14852" max="14852" width="20.50390625" style="9" customWidth="1"/>
    <col min="14853" max="14853" width="20.375" style="9" customWidth="1"/>
    <col min="14854" max="14854" width="19.625" style="9" customWidth="1"/>
    <col min="14855" max="14855" width="18.50390625" style="9" customWidth="1"/>
    <col min="14856" max="15104" width="9.00390625" style="9" customWidth="1"/>
    <col min="15105" max="15105" width="18.25390625" style="9" customWidth="1"/>
    <col min="15106" max="15106" width="18.375" style="9" customWidth="1"/>
    <col min="15107" max="15107" width="20.75390625" style="9" customWidth="1"/>
    <col min="15108" max="15108" width="20.50390625" style="9" customWidth="1"/>
    <col min="15109" max="15109" width="20.375" style="9" customWidth="1"/>
    <col min="15110" max="15110" width="19.625" style="9" customWidth="1"/>
    <col min="15111" max="15111" width="18.50390625" style="9" customWidth="1"/>
    <col min="15112" max="15360" width="9.00390625" style="9" customWidth="1"/>
    <col min="15361" max="15361" width="18.25390625" style="9" customWidth="1"/>
    <col min="15362" max="15362" width="18.375" style="9" customWidth="1"/>
    <col min="15363" max="15363" width="20.75390625" style="9" customWidth="1"/>
    <col min="15364" max="15364" width="20.50390625" style="9" customWidth="1"/>
    <col min="15365" max="15365" width="20.375" style="9" customWidth="1"/>
    <col min="15366" max="15366" width="19.625" style="9" customWidth="1"/>
    <col min="15367" max="15367" width="18.50390625" style="9" customWidth="1"/>
    <col min="15368" max="15616" width="9.00390625" style="9" customWidth="1"/>
    <col min="15617" max="15617" width="18.25390625" style="9" customWidth="1"/>
    <col min="15618" max="15618" width="18.375" style="9" customWidth="1"/>
    <col min="15619" max="15619" width="20.75390625" style="9" customWidth="1"/>
    <col min="15620" max="15620" width="20.50390625" style="9" customWidth="1"/>
    <col min="15621" max="15621" width="20.375" style="9" customWidth="1"/>
    <col min="15622" max="15622" width="19.625" style="9" customWidth="1"/>
    <col min="15623" max="15623" width="18.50390625" style="9" customWidth="1"/>
    <col min="15624" max="15872" width="9.00390625" style="9" customWidth="1"/>
    <col min="15873" max="15873" width="18.25390625" style="9" customWidth="1"/>
    <col min="15874" max="15874" width="18.375" style="9" customWidth="1"/>
    <col min="15875" max="15875" width="20.75390625" style="9" customWidth="1"/>
    <col min="15876" max="15876" width="20.50390625" style="9" customWidth="1"/>
    <col min="15877" max="15877" width="20.375" style="9" customWidth="1"/>
    <col min="15878" max="15878" width="19.625" style="9" customWidth="1"/>
    <col min="15879" max="15879" width="18.50390625" style="9" customWidth="1"/>
    <col min="15880" max="16128" width="9.00390625" style="9" customWidth="1"/>
    <col min="16129" max="16129" width="18.25390625" style="9" customWidth="1"/>
    <col min="16130" max="16130" width="18.375" style="9" customWidth="1"/>
    <col min="16131" max="16131" width="20.75390625" style="9" customWidth="1"/>
    <col min="16132" max="16132" width="20.50390625" style="9" customWidth="1"/>
    <col min="16133" max="16133" width="20.375" style="9" customWidth="1"/>
    <col min="16134" max="16134" width="19.625" style="9" customWidth="1"/>
    <col min="16135" max="16135" width="18.50390625" style="9" customWidth="1"/>
    <col min="16136" max="16384" width="9.00390625" style="9" customWidth="1"/>
  </cols>
  <sheetData>
    <row r="1" spans="1:7" ht="34.5" customHeight="1">
      <c r="A1" s="993" t="s">
        <v>1169</v>
      </c>
      <c r="B1" s="994"/>
      <c r="C1" s="994"/>
      <c r="D1" s="994"/>
      <c r="E1" s="994"/>
      <c r="F1" s="994"/>
      <c r="G1" s="994"/>
    </row>
    <row r="2" spans="1:7" ht="24.75" customHeight="1">
      <c r="A2" s="995" t="s">
        <v>1170</v>
      </c>
      <c r="B2" s="995"/>
      <c r="C2" s="995"/>
      <c r="D2" s="995"/>
      <c r="E2" s="995"/>
      <c r="F2" s="995"/>
      <c r="G2" s="995"/>
    </row>
    <row r="3" spans="1:7" s="72" customFormat="1" ht="33" customHeight="1">
      <c r="A3" s="1080" t="s">
        <v>1171</v>
      </c>
      <c r="B3" s="1081"/>
      <c r="C3" s="1081"/>
      <c r="D3" s="1081"/>
      <c r="E3" s="1081"/>
      <c r="F3" s="1081"/>
      <c r="G3" s="1082"/>
    </row>
    <row r="4" spans="1:7" s="73" customFormat="1" ht="18" customHeight="1">
      <c r="A4" s="999" t="s">
        <v>1172</v>
      </c>
      <c r="B4" s="1000"/>
      <c r="C4" s="1001"/>
      <c r="D4" s="572" t="s">
        <v>1173</v>
      </c>
      <c r="E4" s="572" t="s">
        <v>1173</v>
      </c>
      <c r="F4" s="572" t="s">
        <v>1174</v>
      </c>
      <c r="G4" s="992" t="s">
        <v>1175</v>
      </c>
    </row>
    <row r="5" spans="1:7" s="73" customFormat="1" ht="21" customHeight="1">
      <c r="A5" s="675" t="s">
        <v>1176</v>
      </c>
      <c r="B5" s="675" t="s">
        <v>1177</v>
      </c>
      <c r="C5" s="675" t="s">
        <v>1178</v>
      </c>
      <c r="D5" s="623" t="s">
        <v>1179</v>
      </c>
      <c r="E5" s="623" t="s">
        <v>1180</v>
      </c>
      <c r="F5" s="623" t="s">
        <v>1181</v>
      </c>
      <c r="G5" s="992"/>
    </row>
    <row r="6" spans="1:7" s="366" customFormat="1" ht="15" customHeight="1">
      <c r="A6" s="334">
        <v>4100</v>
      </c>
      <c r="B6" s="589"/>
      <c r="C6" s="589"/>
      <c r="D6" s="605"/>
      <c r="E6" s="589"/>
      <c r="F6" s="589"/>
      <c r="G6" s="589"/>
    </row>
    <row r="7" spans="1:7" s="597" customFormat="1" ht="15" customHeight="1">
      <c r="A7" s="684" t="s">
        <v>1182</v>
      </c>
      <c r="B7" s="685"/>
      <c r="C7" s="367"/>
      <c r="D7" s="606">
        <f>D9+D13</f>
        <v>434908000</v>
      </c>
      <c r="E7" s="573">
        <f>E9+E13</f>
        <v>447908000</v>
      </c>
      <c r="F7" s="573">
        <f>D7-E7</f>
        <v>-13000000</v>
      </c>
      <c r="G7" s="317" t="s">
        <v>1183</v>
      </c>
    </row>
    <row r="8" spans="1:7" s="597" customFormat="1" ht="15" customHeight="1">
      <c r="A8" s="591"/>
      <c r="B8" s="590">
        <v>4110</v>
      </c>
      <c r="C8" s="369"/>
      <c r="D8" s="609"/>
      <c r="E8" s="577"/>
      <c r="F8" s="577"/>
      <c r="G8" s="577"/>
    </row>
    <row r="9" spans="1:7" s="597" customFormat="1" ht="15" customHeight="1">
      <c r="A9" s="591"/>
      <c r="B9" s="511" t="s">
        <v>1184</v>
      </c>
      <c r="C9" s="370"/>
      <c r="D9" s="606">
        <f>D11</f>
        <v>14000000</v>
      </c>
      <c r="E9" s="573">
        <f>E11</f>
        <v>17000000</v>
      </c>
      <c r="F9" s="573">
        <f>D9-E9</f>
        <v>-3000000</v>
      </c>
      <c r="G9" s="573"/>
    </row>
    <row r="10" spans="1:7" s="371" customFormat="1" ht="15" customHeight="1">
      <c r="A10" s="591"/>
      <c r="B10" s="501"/>
      <c r="C10" s="594">
        <v>4113</v>
      </c>
      <c r="D10" s="609"/>
      <c r="E10" s="577"/>
      <c r="F10" s="577"/>
      <c r="G10" s="86"/>
    </row>
    <row r="11" spans="1:7" s="597" customFormat="1" ht="15" customHeight="1">
      <c r="A11" s="591"/>
      <c r="B11" s="502"/>
      <c r="C11" s="592" t="s">
        <v>1185</v>
      </c>
      <c r="D11" s="606">
        <v>14000000</v>
      </c>
      <c r="E11" s="573">
        <v>17000000</v>
      </c>
      <c r="F11" s="573">
        <f>D11-E11</f>
        <v>-3000000</v>
      </c>
      <c r="G11" s="168"/>
    </row>
    <row r="12" spans="1:7" s="371" customFormat="1" ht="15" customHeight="1">
      <c r="A12" s="591"/>
      <c r="B12" s="590">
        <v>4120</v>
      </c>
      <c r="C12" s="595"/>
      <c r="D12" s="609"/>
      <c r="E12" s="577"/>
      <c r="F12" s="577"/>
      <c r="G12" s="577"/>
    </row>
    <row r="13" spans="1:7" s="597" customFormat="1" ht="15" customHeight="1">
      <c r="A13" s="591"/>
      <c r="B13" s="684" t="s">
        <v>1186</v>
      </c>
      <c r="C13" s="592"/>
      <c r="D13" s="606">
        <f>SUM(D15:D25)</f>
        <v>420908000</v>
      </c>
      <c r="E13" s="573">
        <f>SUM(E15:E25)</f>
        <v>430908000</v>
      </c>
      <c r="F13" s="573">
        <f>D13-E13</f>
        <v>-10000000</v>
      </c>
      <c r="G13" s="573"/>
    </row>
    <row r="14" spans="1:7" s="371" customFormat="1" ht="15" customHeight="1">
      <c r="A14" s="591"/>
      <c r="B14" s="591"/>
      <c r="C14" s="594">
        <v>4121</v>
      </c>
      <c r="D14" s="609"/>
      <c r="E14" s="577"/>
      <c r="F14" s="577"/>
      <c r="G14" s="577"/>
    </row>
    <row r="15" spans="1:7" s="597" customFormat="1" ht="15" customHeight="1">
      <c r="A15" s="591"/>
      <c r="B15" s="591"/>
      <c r="C15" s="592" t="s">
        <v>1187</v>
      </c>
      <c r="D15" s="606">
        <v>150739000</v>
      </c>
      <c r="E15" s="573">
        <v>166739000</v>
      </c>
      <c r="F15" s="573">
        <f>D15-E15</f>
        <v>-16000000</v>
      </c>
      <c r="G15" s="573"/>
    </row>
    <row r="16" spans="1:7" s="371" customFormat="1" ht="15" customHeight="1">
      <c r="A16" s="591"/>
      <c r="B16" s="591"/>
      <c r="C16" s="594">
        <v>4122</v>
      </c>
      <c r="D16" s="609"/>
      <c r="E16" s="577"/>
      <c r="F16" s="577"/>
      <c r="G16" s="577"/>
    </row>
    <row r="17" spans="1:7" s="597" customFormat="1" ht="15" customHeight="1">
      <c r="A17" s="591"/>
      <c r="B17" s="591"/>
      <c r="C17" s="592" t="s">
        <v>1188</v>
      </c>
      <c r="D17" s="606">
        <v>150739000</v>
      </c>
      <c r="E17" s="573">
        <v>166739000</v>
      </c>
      <c r="F17" s="573">
        <f>D17-E17</f>
        <v>-16000000</v>
      </c>
      <c r="G17" s="573"/>
    </row>
    <row r="18" spans="1:7" s="371" customFormat="1" ht="15" customHeight="1">
      <c r="A18" s="591"/>
      <c r="B18" s="591"/>
      <c r="C18" s="594">
        <v>4123</v>
      </c>
      <c r="D18" s="609"/>
      <c r="E18" s="577"/>
      <c r="F18" s="577"/>
      <c r="G18" s="577"/>
    </row>
    <row r="19" spans="1:7" s="597" customFormat="1" ht="15" customHeight="1">
      <c r="A19" s="591"/>
      <c r="B19" s="591"/>
      <c r="C19" s="592" t="s">
        <v>1189</v>
      </c>
      <c r="D19" s="606">
        <v>44190000</v>
      </c>
      <c r="E19" s="573">
        <v>22190000</v>
      </c>
      <c r="F19" s="573">
        <f>D19-E19</f>
        <v>22000000</v>
      </c>
      <c r="G19" s="573"/>
    </row>
    <row r="20" spans="1:7" s="371" customFormat="1" ht="15" customHeight="1">
      <c r="A20" s="591"/>
      <c r="B20" s="591"/>
      <c r="C20" s="594">
        <v>4124</v>
      </c>
      <c r="D20" s="609"/>
      <c r="E20" s="577"/>
      <c r="F20" s="577"/>
      <c r="G20" s="577"/>
    </row>
    <row r="21" spans="1:7" s="597" customFormat="1" ht="15" customHeight="1">
      <c r="A21" s="591"/>
      <c r="B21" s="591"/>
      <c r="C21" s="592" t="s">
        <v>1190</v>
      </c>
      <c r="D21" s="606">
        <v>33240000</v>
      </c>
      <c r="E21" s="573">
        <v>33240000</v>
      </c>
      <c r="F21" s="573">
        <f>D21-E21</f>
        <v>0</v>
      </c>
      <c r="G21" s="573"/>
    </row>
    <row r="22" spans="1:7" s="371" customFormat="1" ht="15" customHeight="1">
      <c r="A22" s="591"/>
      <c r="B22" s="591"/>
      <c r="C22" s="594">
        <v>4125</v>
      </c>
      <c r="D22" s="609"/>
      <c r="E22" s="577"/>
      <c r="F22" s="577"/>
      <c r="G22" s="577"/>
    </row>
    <row r="23" spans="1:7" s="597" customFormat="1" ht="15" customHeight="1">
      <c r="A23" s="591"/>
      <c r="B23" s="591"/>
      <c r="C23" s="592" t="s">
        <v>1191</v>
      </c>
      <c r="D23" s="606">
        <v>36000000</v>
      </c>
      <c r="E23" s="573">
        <v>36000000</v>
      </c>
      <c r="F23" s="573">
        <f>D23-E23</f>
        <v>0</v>
      </c>
      <c r="G23" s="573"/>
    </row>
    <row r="24" spans="1:7" s="371" customFormat="1" ht="15" customHeight="1">
      <c r="A24" s="591"/>
      <c r="B24" s="591"/>
      <c r="C24" s="594">
        <v>4127</v>
      </c>
      <c r="D24" s="609"/>
      <c r="E24" s="577"/>
      <c r="F24" s="577"/>
      <c r="G24" s="577"/>
    </row>
    <row r="25" spans="1:7" s="597" customFormat="1" ht="15" customHeight="1">
      <c r="A25" s="352"/>
      <c r="B25" s="352"/>
      <c r="C25" s="592" t="s">
        <v>1192</v>
      </c>
      <c r="D25" s="606">
        <v>6000000</v>
      </c>
      <c r="E25" s="573">
        <v>6000000</v>
      </c>
      <c r="F25" s="573">
        <f>D25-E25</f>
        <v>0</v>
      </c>
      <c r="G25" s="573"/>
    </row>
    <row r="26" spans="1:7" s="597" customFormat="1" ht="15" customHeight="1">
      <c r="A26" s="590">
        <v>4200</v>
      </c>
      <c r="B26" s="686"/>
      <c r="C26" s="595"/>
      <c r="D26" s="609"/>
      <c r="E26" s="577"/>
      <c r="F26" s="577"/>
      <c r="G26" s="577"/>
    </row>
    <row r="27" spans="1:7" s="597" customFormat="1" ht="15" customHeight="1">
      <c r="A27" s="684" t="s">
        <v>1193</v>
      </c>
      <c r="B27" s="685"/>
      <c r="C27" s="592"/>
      <c r="D27" s="606">
        <f>SUM(D29+D41+D59)</f>
        <v>1847800000</v>
      </c>
      <c r="E27" s="573">
        <f>SUM(E29+E41+E59)</f>
        <v>1862800000</v>
      </c>
      <c r="F27" s="573">
        <f>D27-E27</f>
        <v>-15000000</v>
      </c>
      <c r="G27" s="573"/>
    </row>
    <row r="28" spans="1:7" s="371" customFormat="1" ht="15" customHeight="1">
      <c r="A28" s="684"/>
      <c r="B28" s="590">
        <v>4210</v>
      </c>
      <c r="C28" s="595"/>
      <c r="D28" s="609"/>
      <c r="E28" s="577"/>
      <c r="F28" s="577"/>
      <c r="G28" s="577"/>
    </row>
    <row r="29" spans="1:7" s="597" customFormat="1" ht="15" customHeight="1">
      <c r="A29" s="684"/>
      <c r="B29" s="684" t="s">
        <v>1194</v>
      </c>
      <c r="C29" s="592"/>
      <c r="D29" s="606">
        <f>SUM(D31:D39)</f>
        <v>1218000000</v>
      </c>
      <c r="E29" s="573">
        <f>SUM(E31:E39)</f>
        <v>1236000000</v>
      </c>
      <c r="F29" s="573">
        <f>D29-E29</f>
        <v>-18000000</v>
      </c>
      <c r="G29" s="573"/>
    </row>
    <row r="30" spans="1:7" s="374" customFormat="1" ht="15" customHeight="1">
      <c r="A30" s="375"/>
      <c r="B30" s="352"/>
      <c r="C30" s="357">
        <v>4211</v>
      </c>
      <c r="D30" s="619"/>
      <c r="E30" s="599"/>
      <c r="F30" s="599"/>
      <c r="G30" s="599"/>
    </row>
    <row r="31" spans="1:7" s="597" customFormat="1" ht="15" customHeight="1">
      <c r="A31" s="591"/>
      <c r="B31" s="591"/>
      <c r="C31" s="592" t="s">
        <v>1195</v>
      </c>
      <c r="D31" s="606">
        <v>198000000</v>
      </c>
      <c r="E31" s="573">
        <v>212000000</v>
      </c>
      <c r="F31" s="573">
        <f>D31-E31</f>
        <v>-14000000</v>
      </c>
      <c r="G31" s="573"/>
    </row>
    <row r="32" spans="1:7" s="374" customFormat="1" ht="15" customHeight="1">
      <c r="A32" s="360"/>
      <c r="B32" s="591"/>
      <c r="C32" s="594">
        <v>4212</v>
      </c>
      <c r="D32" s="615"/>
      <c r="E32" s="574"/>
      <c r="F32" s="574"/>
      <c r="G32" s="574"/>
    </row>
    <row r="33" spans="1:7" s="597" customFormat="1" ht="15" customHeight="1">
      <c r="A33" s="591"/>
      <c r="B33" s="591"/>
      <c r="C33" s="592" t="s">
        <v>1196</v>
      </c>
      <c r="D33" s="606">
        <v>6000000</v>
      </c>
      <c r="E33" s="573">
        <v>10000000</v>
      </c>
      <c r="F33" s="573">
        <f>D33-E33</f>
        <v>-4000000</v>
      </c>
      <c r="G33" s="573"/>
    </row>
    <row r="34" spans="1:7" s="374" customFormat="1" ht="15" customHeight="1">
      <c r="A34" s="360"/>
      <c r="B34" s="591"/>
      <c r="C34" s="594">
        <v>4215</v>
      </c>
      <c r="D34" s="615"/>
      <c r="E34" s="574"/>
      <c r="F34" s="574"/>
      <c r="G34" s="574"/>
    </row>
    <row r="35" spans="1:7" s="597" customFormat="1" ht="15" customHeight="1">
      <c r="A35" s="591"/>
      <c r="B35" s="591"/>
      <c r="C35" s="592" t="s">
        <v>1197</v>
      </c>
      <c r="D35" s="606">
        <v>436000000</v>
      </c>
      <c r="E35" s="573">
        <v>439000000</v>
      </c>
      <c r="F35" s="573">
        <f>D35-E35</f>
        <v>-3000000</v>
      </c>
      <c r="G35" s="573"/>
    </row>
    <row r="36" spans="1:7" s="374" customFormat="1" ht="15" customHeight="1">
      <c r="A36" s="360"/>
      <c r="B36" s="360"/>
      <c r="C36" s="594">
        <v>4216</v>
      </c>
      <c r="D36" s="615"/>
      <c r="E36" s="574"/>
      <c r="F36" s="574"/>
      <c r="G36" s="574"/>
    </row>
    <row r="37" spans="1:7" s="597" customFormat="1" ht="15" customHeight="1">
      <c r="A37" s="591"/>
      <c r="B37" s="1194"/>
      <c r="C37" s="592" t="s">
        <v>1198</v>
      </c>
      <c r="D37" s="606">
        <v>5000000</v>
      </c>
      <c r="E37" s="573">
        <v>5000000</v>
      </c>
      <c r="F37" s="573">
        <f>D37-E37</f>
        <v>0</v>
      </c>
      <c r="G37" s="573"/>
    </row>
    <row r="38" spans="1:7" s="374" customFormat="1" ht="15" customHeight="1">
      <c r="A38" s="360"/>
      <c r="B38" s="1194"/>
      <c r="C38" s="594">
        <v>4217</v>
      </c>
      <c r="D38" s="615"/>
      <c r="E38" s="574"/>
      <c r="F38" s="574"/>
      <c r="G38" s="574"/>
    </row>
    <row r="39" spans="1:7" s="597" customFormat="1" ht="15" customHeight="1">
      <c r="A39" s="591"/>
      <c r="B39" s="1086"/>
      <c r="C39" s="592" t="s">
        <v>1199</v>
      </c>
      <c r="D39" s="606">
        <v>573000000</v>
      </c>
      <c r="E39" s="573">
        <v>570000000</v>
      </c>
      <c r="F39" s="573">
        <f>D39-E39</f>
        <v>3000000</v>
      </c>
      <c r="G39" s="573"/>
    </row>
    <row r="40" spans="1:7" s="374" customFormat="1" ht="15" customHeight="1">
      <c r="A40" s="360"/>
      <c r="B40" s="590">
        <v>4220</v>
      </c>
      <c r="C40" s="593"/>
      <c r="D40" s="608"/>
      <c r="E40" s="600"/>
      <c r="F40" s="600"/>
      <c r="G40" s="600"/>
    </row>
    <row r="41" spans="1:7" s="597" customFormat="1" ht="15" customHeight="1">
      <c r="A41" s="591"/>
      <c r="B41" s="684" t="s">
        <v>1200</v>
      </c>
      <c r="C41" s="592"/>
      <c r="D41" s="606">
        <f>SUM(D43:D57)</f>
        <v>607800000</v>
      </c>
      <c r="E41" s="573">
        <f>SUM(E43:E57)</f>
        <v>590800000</v>
      </c>
      <c r="F41" s="573">
        <f>D41-E41</f>
        <v>17000000</v>
      </c>
      <c r="G41" s="573"/>
    </row>
    <row r="42" spans="1:7" s="374" customFormat="1" ht="15" customHeight="1">
      <c r="A42" s="360"/>
      <c r="B42" s="360"/>
      <c r="C42" s="594">
        <v>4221</v>
      </c>
      <c r="D42" s="615"/>
      <c r="E42" s="574"/>
      <c r="F42" s="574"/>
      <c r="G42" s="574"/>
    </row>
    <row r="43" spans="1:7" s="597" customFormat="1" ht="15" customHeight="1">
      <c r="A43" s="591"/>
      <c r="B43" s="591"/>
      <c r="C43" s="592" t="s">
        <v>1201</v>
      </c>
      <c r="D43" s="606">
        <v>3000000</v>
      </c>
      <c r="E43" s="573">
        <v>3000000</v>
      </c>
      <c r="F43" s="573">
        <f>D43-E43</f>
        <v>0</v>
      </c>
      <c r="G43" s="573"/>
    </row>
    <row r="44" spans="1:7" s="374" customFormat="1" ht="15" customHeight="1">
      <c r="A44" s="360"/>
      <c r="B44" s="360"/>
      <c r="C44" s="594">
        <v>4223</v>
      </c>
      <c r="D44" s="615"/>
      <c r="E44" s="574"/>
      <c r="F44" s="574"/>
      <c r="G44" s="574"/>
    </row>
    <row r="45" spans="1:7" s="597" customFormat="1" ht="15" customHeight="1">
      <c r="A45" s="591"/>
      <c r="B45" s="591"/>
      <c r="C45" s="592" t="s">
        <v>1202</v>
      </c>
      <c r="D45" s="606">
        <v>34300000</v>
      </c>
      <c r="E45" s="573">
        <v>44300000</v>
      </c>
      <c r="F45" s="573">
        <f>D45-E45</f>
        <v>-10000000</v>
      </c>
      <c r="G45" s="573"/>
    </row>
    <row r="46" spans="1:7" s="374" customFormat="1" ht="15" customHeight="1">
      <c r="A46" s="360"/>
      <c r="B46" s="360"/>
      <c r="C46" s="594">
        <v>4224</v>
      </c>
      <c r="D46" s="615"/>
      <c r="E46" s="574"/>
      <c r="F46" s="574"/>
      <c r="G46" s="574"/>
    </row>
    <row r="47" spans="1:7" s="597" customFormat="1" ht="15" customHeight="1">
      <c r="A47" s="591"/>
      <c r="B47" s="591"/>
      <c r="C47" s="592" t="s">
        <v>1203</v>
      </c>
      <c r="D47" s="606">
        <v>5000000</v>
      </c>
      <c r="E47" s="573">
        <v>5000000</v>
      </c>
      <c r="F47" s="573">
        <f>D47-E47</f>
        <v>0</v>
      </c>
      <c r="G47" s="573"/>
    </row>
    <row r="48" spans="1:7" s="374" customFormat="1" ht="15" customHeight="1">
      <c r="A48" s="360"/>
      <c r="B48" s="360"/>
      <c r="C48" s="594">
        <v>4225</v>
      </c>
      <c r="D48" s="615"/>
      <c r="E48" s="574"/>
      <c r="F48" s="574"/>
      <c r="G48" s="574"/>
    </row>
    <row r="49" spans="1:7" s="597" customFormat="1" ht="15" customHeight="1">
      <c r="A49" s="591"/>
      <c r="B49" s="591"/>
      <c r="C49" s="592" t="s">
        <v>1204</v>
      </c>
      <c r="D49" s="606">
        <v>285000000</v>
      </c>
      <c r="E49" s="573">
        <v>230000000</v>
      </c>
      <c r="F49" s="573">
        <f>D49-E49</f>
        <v>55000000</v>
      </c>
      <c r="G49" s="573"/>
    </row>
    <row r="50" spans="1:7" s="374" customFormat="1" ht="15" customHeight="1">
      <c r="A50" s="360"/>
      <c r="B50" s="360"/>
      <c r="C50" s="594">
        <v>4226</v>
      </c>
      <c r="D50" s="615"/>
      <c r="E50" s="574"/>
      <c r="F50" s="574"/>
      <c r="G50" s="574"/>
    </row>
    <row r="51" spans="1:7" s="597" customFormat="1" ht="15" customHeight="1">
      <c r="A51" s="591"/>
      <c r="B51" s="591"/>
      <c r="C51" s="592" t="s">
        <v>1205</v>
      </c>
      <c r="D51" s="606">
        <v>250000000</v>
      </c>
      <c r="E51" s="573">
        <v>260000000</v>
      </c>
      <c r="F51" s="573">
        <f>D51-E51</f>
        <v>-10000000</v>
      </c>
      <c r="G51" s="573"/>
    </row>
    <row r="52" spans="1:7" s="374" customFormat="1" ht="15" customHeight="1">
      <c r="A52" s="360"/>
      <c r="B52" s="360"/>
      <c r="C52" s="594">
        <v>4227</v>
      </c>
      <c r="D52" s="615"/>
      <c r="E52" s="574"/>
      <c r="F52" s="574"/>
      <c r="G52" s="574"/>
    </row>
    <row r="53" spans="1:7" s="597" customFormat="1" ht="15" customHeight="1">
      <c r="A53" s="591"/>
      <c r="B53" s="591"/>
      <c r="C53" s="592" t="s">
        <v>1206</v>
      </c>
      <c r="D53" s="606">
        <v>27000000</v>
      </c>
      <c r="E53" s="573">
        <v>45000000</v>
      </c>
      <c r="F53" s="573">
        <f>D53-E53</f>
        <v>-18000000</v>
      </c>
      <c r="G53" s="573"/>
    </row>
    <row r="54" spans="1:7" s="374" customFormat="1" ht="15" customHeight="1">
      <c r="A54" s="360"/>
      <c r="B54" s="360"/>
      <c r="C54" s="594">
        <v>4228</v>
      </c>
      <c r="D54" s="615"/>
      <c r="E54" s="574"/>
      <c r="F54" s="574"/>
      <c r="G54" s="574"/>
    </row>
    <row r="55" spans="1:7" s="597" customFormat="1" ht="15" customHeight="1">
      <c r="A55" s="591"/>
      <c r="B55" s="591"/>
      <c r="C55" s="592" t="s">
        <v>1207</v>
      </c>
      <c r="D55" s="606">
        <v>3000000</v>
      </c>
      <c r="E55" s="573">
        <v>3000000</v>
      </c>
      <c r="F55" s="573">
        <f>D55-E55</f>
        <v>0</v>
      </c>
      <c r="G55" s="573"/>
    </row>
    <row r="56" spans="1:7" s="374" customFormat="1" ht="15" customHeight="1">
      <c r="A56" s="360"/>
      <c r="B56" s="360"/>
      <c r="C56" s="594">
        <v>4229</v>
      </c>
      <c r="D56" s="615"/>
      <c r="E56" s="574"/>
      <c r="F56" s="574"/>
      <c r="G56" s="574"/>
    </row>
    <row r="57" spans="1:7" s="597" customFormat="1" ht="15" customHeight="1">
      <c r="A57" s="591"/>
      <c r="B57" s="352"/>
      <c r="C57" s="592" t="s">
        <v>1208</v>
      </c>
      <c r="D57" s="606">
        <v>500000</v>
      </c>
      <c r="E57" s="573">
        <v>500000</v>
      </c>
      <c r="F57" s="573">
        <f>D57-E57</f>
        <v>0</v>
      </c>
      <c r="G57" s="573"/>
    </row>
    <row r="58" spans="1:7" s="374" customFormat="1" ht="15" customHeight="1">
      <c r="A58" s="360"/>
      <c r="B58" s="590">
        <v>4230</v>
      </c>
      <c r="C58" s="593"/>
      <c r="D58" s="608"/>
      <c r="E58" s="600"/>
      <c r="F58" s="600"/>
      <c r="G58" s="600"/>
    </row>
    <row r="59" spans="1:7" s="597" customFormat="1" ht="15" customHeight="1">
      <c r="A59" s="591"/>
      <c r="B59" s="684" t="s">
        <v>1209</v>
      </c>
      <c r="C59" s="592"/>
      <c r="D59" s="606">
        <f>SUM(D61:D69)</f>
        <v>22000000</v>
      </c>
      <c r="E59" s="606">
        <f>SUM(E61:E69)</f>
        <v>36000000</v>
      </c>
      <c r="F59" s="573">
        <f>D59-E59</f>
        <v>-14000000</v>
      </c>
      <c r="G59" s="573"/>
    </row>
    <row r="60" spans="1:7" s="374" customFormat="1" ht="15" customHeight="1">
      <c r="A60" s="360"/>
      <c r="B60" s="591"/>
      <c r="C60" s="594">
        <v>4231</v>
      </c>
      <c r="D60" s="615"/>
      <c r="E60" s="574"/>
      <c r="F60" s="574"/>
      <c r="G60" s="574"/>
    </row>
    <row r="61" spans="1:7" s="597" customFormat="1" ht="15" customHeight="1">
      <c r="A61" s="352"/>
      <c r="B61" s="352"/>
      <c r="C61" s="592" t="s">
        <v>1210</v>
      </c>
      <c r="D61" s="606">
        <v>10000000</v>
      </c>
      <c r="E61" s="573">
        <v>15000000</v>
      </c>
      <c r="F61" s="573">
        <f>D61-E61</f>
        <v>-5000000</v>
      </c>
      <c r="G61" s="573"/>
    </row>
    <row r="62" spans="1:7" s="374" customFormat="1" ht="15" customHeight="1">
      <c r="A62" s="591"/>
      <c r="B62" s="591"/>
      <c r="C62" s="594">
        <v>4234</v>
      </c>
      <c r="D62" s="615"/>
      <c r="E62" s="574"/>
      <c r="F62" s="574"/>
      <c r="G62" s="574"/>
    </row>
    <row r="63" spans="1:7" s="597" customFormat="1" ht="15" customHeight="1">
      <c r="A63" s="591"/>
      <c r="B63" s="591"/>
      <c r="C63" s="592" t="s">
        <v>1211</v>
      </c>
      <c r="D63" s="606">
        <v>6000000</v>
      </c>
      <c r="E63" s="573">
        <v>7000000</v>
      </c>
      <c r="F63" s="573">
        <f>D63-E63</f>
        <v>-1000000</v>
      </c>
      <c r="G63" s="573"/>
    </row>
    <row r="64" spans="1:7" s="374" customFormat="1" ht="15" customHeight="1">
      <c r="A64" s="591"/>
      <c r="B64" s="591"/>
      <c r="C64" s="594">
        <v>4235</v>
      </c>
      <c r="D64" s="615"/>
      <c r="E64" s="574"/>
      <c r="F64" s="574"/>
      <c r="G64" s="574"/>
    </row>
    <row r="65" spans="1:7" s="597" customFormat="1" ht="15" customHeight="1">
      <c r="A65" s="591"/>
      <c r="B65" s="591"/>
      <c r="C65" s="592" t="s">
        <v>1212</v>
      </c>
      <c r="D65" s="606">
        <v>0</v>
      </c>
      <c r="E65" s="573">
        <v>5000000</v>
      </c>
      <c r="F65" s="573">
        <f>D65-E65</f>
        <v>-5000000</v>
      </c>
      <c r="G65" s="573"/>
    </row>
    <row r="66" spans="1:7" s="374" customFormat="1" ht="15" customHeight="1">
      <c r="A66" s="591"/>
      <c r="B66" s="591"/>
      <c r="C66" s="594">
        <v>4236</v>
      </c>
      <c r="D66" s="615"/>
      <c r="E66" s="574"/>
      <c r="F66" s="574"/>
      <c r="G66" s="574"/>
    </row>
    <row r="67" spans="1:7" s="597" customFormat="1" ht="15" customHeight="1">
      <c r="A67" s="591"/>
      <c r="B67" s="591"/>
      <c r="C67" s="592" t="s">
        <v>1213</v>
      </c>
      <c r="D67" s="606">
        <v>2000000</v>
      </c>
      <c r="E67" s="573">
        <v>5000000</v>
      </c>
      <c r="F67" s="573">
        <f>D67-E67</f>
        <v>-3000000</v>
      </c>
      <c r="G67" s="573"/>
    </row>
    <row r="68" spans="1:7" s="374" customFormat="1" ht="15" customHeight="1">
      <c r="A68" s="591"/>
      <c r="B68" s="591"/>
      <c r="C68" s="594">
        <v>4239</v>
      </c>
      <c r="D68" s="615"/>
      <c r="E68" s="574"/>
      <c r="F68" s="574"/>
      <c r="G68" s="574"/>
    </row>
    <row r="69" spans="1:7" s="597" customFormat="1" ht="15" customHeight="1">
      <c r="A69" s="352"/>
      <c r="B69" s="352"/>
      <c r="C69" s="592" t="s">
        <v>1214</v>
      </c>
      <c r="D69" s="606">
        <v>4000000</v>
      </c>
      <c r="E69" s="573">
        <v>4000000</v>
      </c>
      <c r="F69" s="573">
        <f>D69-E69</f>
        <v>0</v>
      </c>
      <c r="G69" s="573"/>
    </row>
    <row r="70" spans="1:7" s="374" customFormat="1" ht="15" customHeight="1">
      <c r="A70" s="590">
        <v>4300</v>
      </c>
      <c r="B70" s="590"/>
      <c r="C70" s="594"/>
      <c r="D70" s="615"/>
      <c r="E70" s="574"/>
      <c r="F70" s="574"/>
      <c r="G70" s="574"/>
    </row>
    <row r="71" spans="1:7" s="597" customFormat="1" ht="15" customHeight="1">
      <c r="A71" s="684" t="s">
        <v>1215</v>
      </c>
      <c r="B71" s="685"/>
      <c r="C71" s="592"/>
      <c r="D71" s="606">
        <f>D73</f>
        <v>30000000</v>
      </c>
      <c r="E71" s="606">
        <f>E73</f>
        <v>27000000</v>
      </c>
      <c r="F71" s="573">
        <f>D71-E71</f>
        <v>3000000</v>
      </c>
      <c r="G71" s="573"/>
    </row>
    <row r="72" spans="1:7" s="374" customFormat="1" ht="15" customHeight="1">
      <c r="A72" s="591"/>
      <c r="B72" s="590">
        <v>4320</v>
      </c>
      <c r="C72" s="594"/>
      <c r="D72" s="615"/>
      <c r="E72" s="574"/>
      <c r="F72" s="574"/>
      <c r="G72" s="379"/>
    </row>
    <row r="73" spans="1:7" s="597" customFormat="1" ht="15" customHeight="1">
      <c r="A73" s="591"/>
      <c r="B73" s="684" t="s">
        <v>1216</v>
      </c>
      <c r="C73" s="592"/>
      <c r="D73" s="606">
        <f>SUM(D74:D77)</f>
        <v>30000000</v>
      </c>
      <c r="E73" s="606">
        <f>SUM(E74:E77)</f>
        <v>27000000</v>
      </c>
      <c r="F73" s="573">
        <f>D73-E73</f>
        <v>3000000</v>
      </c>
      <c r="G73" s="573"/>
    </row>
    <row r="74" spans="1:7" s="374" customFormat="1" ht="15" customHeight="1">
      <c r="A74" s="591"/>
      <c r="B74" s="591"/>
      <c r="C74" s="594">
        <v>4325</v>
      </c>
      <c r="D74" s="615"/>
      <c r="E74" s="574"/>
      <c r="F74" s="574"/>
      <c r="G74" s="574"/>
    </row>
    <row r="75" spans="1:7" s="597" customFormat="1" ht="15" customHeight="1">
      <c r="A75" s="591"/>
      <c r="B75" s="591"/>
      <c r="C75" s="592" t="s">
        <v>1217</v>
      </c>
      <c r="D75" s="606">
        <v>10000000</v>
      </c>
      <c r="E75" s="573">
        <v>10000000</v>
      </c>
      <c r="F75" s="573">
        <f>D75-E75</f>
        <v>0</v>
      </c>
      <c r="G75" s="573"/>
    </row>
    <row r="76" spans="1:7" s="374" customFormat="1" ht="15" customHeight="1">
      <c r="A76" s="360"/>
      <c r="B76" s="360"/>
      <c r="C76" s="594">
        <v>4329</v>
      </c>
      <c r="D76" s="615"/>
      <c r="E76" s="574"/>
      <c r="F76" s="574"/>
      <c r="G76" s="574"/>
    </row>
    <row r="77" spans="1:7" s="597" customFormat="1" ht="15" customHeight="1">
      <c r="A77" s="591"/>
      <c r="B77" s="352"/>
      <c r="C77" s="592" t="s">
        <v>1218</v>
      </c>
      <c r="D77" s="606">
        <v>20000000</v>
      </c>
      <c r="E77" s="573">
        <v>17000000</v>
      </c>
      <c r="F77" s="573">
        <f>D77-E77</f>
        <v>3000000</v>
      </c>
      <c r="G77" s="573"/>
    </row>
    <row r="78" spans="1:7" s="374" customFormat="1" ht="15" customHeight="1">
      <c r="A78" s="590">
        <v>4400</v>
      </c>
      <c r="B78" s="590"/>
      <c r="C78" s="594"/>
      <c r="D78" s="620"/>
      <c r="E78" s="574"/>
      <c r="F78" s="574"/>
      <c r="G78" s="574"/>
    </row>
    <row r="79" spans="1:7" s="597" customFormat="1" ht="15" customHeight="1">
      <c r="A79" s="854" t="s">
        <v>1219</v>
      </c>
      <c r="B79" s="854"/>
      <c r="C79" s="592"/>
      <c r="D79" s="614">
        <f>D81</f>
        <v>2000000</v>
      </c>
      <c r="E79" s="614">
        <f>E81</f>
        <v>2000000</v>
      </c>
      <c r="F79" s="585">
        <f>D79-E79</f>
        <v>0</v>
      </c>
      <c r="G79" s="573"/>
    </row>
    <row r="80" spans="1:7" s="374" customFormat="1" ht="15" customHeight="1">
      <c r="A80" s="591"/>
      <c r="B80" s="590">
        <v>4420</v>
      </c>
      <c r="C80" s="594"/>
      <c r="D80" s="620"/>
      <c r="E80" s="574"/>
      <c r="F80" s="574"/>
      <c r="G80" s="86"/>
    </row>
    <row r="81" spans="1:7" s="597" customFormat="1" ht="15" customHeight="1">
      <c r="A81" s="591"/>
      <c r="B81" s="854" t="s">
        <v>1220</v>
      </c>
      <c r="C81" s="592"/>
      <c r="D81" s="606">
        <f>SUM(D83:D83)</f>
        <v>2000000</v>
      </c>
      <c r="E81" s="573">
        <f>SUM(E83:E83)</f>
        <v>2000000</v>
      </c>
      <c r="F81" s="573">
        <f>D81-E81</f>
        <v>0</v>
      </c>
      <c r="G81" s="573"/>
    </row>
    <row r="82" spans="1:7" s="374" customFormat="1" ht="15" customHeight="1">
      <c r="A82" s="591"/>
      <c r="B82" s="591"/>
      <c r="C82" s="594">
        <v>4421</v>
      </c>
      <c r="D82" s="615"/>
      <c r="E82" s="574"/>
      <c r="F82" s="574"/>
      <c r="G82" s="574"/>
    </row>
    <row r="83" spans="1:7" s="597" customFormat="1" ht="15" customHeight="1">
      <c r="A83" s="352"/>
      <c r="B83" s="352"/>
      <c r="C83" s="592" t="s">
        <v>1221</v>
      </c>
      <c r="D83" s="606">
        <v>2000000</v>
      </c>
      <c r="E83" s="573">
        <v>2000000</v>
      </c>
      <c r="F83" s="573">
        <f>D83-E83</f>
        <v>0</v>
      </c>
      <c r="G83" s="573"/>
    </row>
    <row r="84" spans="1:7" s="374" customFormat="1" ht="15" customHeight="1">
      <c r="A84" s="590">
        <v>4500</v>
      </c>
      <c r="B84" s="590"/>
      <c r="C84" s="594"/>
      <c r="D84" s="620"/>
      <c r="E84" s="574"/>
      <c r="F84" s="574"/>
      <c r="G84" s="574"/>
    </row>
    <row r="85" spans="1:7" s="597" customFormat="1" ht="15" customHeight="1">
      <c r="A85" s="854" t="s">
        <v>1222</v>
      </c>
      <c r="B85" s="852"/>
      <c r="C85" s="592"/>
      <c r="D85" s="614">
        <f>D87</f>
        <v>673621140</v>
      </c>
      <c r="E85" s="585">
        <f>E87</f>
        <v>763396200</v>
      </c>
      <c r="F85" s="585">
        <f>D85-E85</f>
        <v>-89775060</v>
      </c>
      <c r="G85" s="573"/>
    </row>
    <row r="86" spans="1:7" s="374" customFormat="1" ht="15" customHeight="1">
      <c r="A86" s="591"/>
      <c r="B86" s="590">
        <v>4510</v>
      </c>
      <c r="C86" s="594"/>
      <c r="D86" s="620"/>
      <c r="E86" s="602"/>
      <c r="F86" s="602"/>
      <c r="G86" s="574"/>
    </row>
    <row r="87" spans="1:7" s="597" customFormat="1" ht="15" customHeight="1">
      <c r="A87" s="591"/>
      <c r="B87" s="854" t="s">
        <v>1223</v>
      </c>
      <c r="C87" s="592"/>
      <c r="D87" s="614">
        <f>D89</f>
        <v>673621140</v>
      </c>
      <c r="E87" s="585">
        <f>E89</f>
        <v>763396200</v>
      </c>
      <c r="F87" s="585">
        <f>D87-E87</f>
        <v>-89775060</v>
      </c>
      <c r="G87" s="573"/>
    </row>
    <row r="88" spans="1:7" s="597" customFormat="1" ht="15" customHeight="1">
      <c r="A88" s="591"/>
      <c r="B88" s="591"/>
      <c r="C88" s="593">
        <v>4516</v>
      </c>
      <c r="D88" s="618"/>
      <c r="E88" s="598"/>
      <c r="F88" s="598"/>
      <c r="G88" s="580"/>
    </row>
    <row r="89" spans="1:7" s="597" customFormat="1" ht="15" customHeight="1">
      <c r="A89" s="352"/>
      <c r="B89" s="352"/>
      <c r="C89" s="592" t="s">
        <v>1224</v>
      </c>
      <c r="D89" s="614">
        <v>673621140</v>
      </c>
      <c r="E89" s="585">
        <v>763396200</v>
      </c>
      <c r="F89" s="585">
        <f>D89-E89</f>
        <v>-89775060</v>
      </c>
      <c r="G89" s="573"/>
    </row>
    <row r="90" spans="1:7" s="597" customFormat="1" ht="15" customHeight="1">
      <c r="A90" s="590">
        <v>4600</v>
      </c>
      <c r="B90" s="590"/>
      <c r="C90" s="596"/>
      <c r="D90" s="618"/>
      <c r="E90" s="618"/>
      <c r="F90" s="598"/>
      <c r="G90" s="580"/>
    </row>
    <row r="91" spans="1:7" s="597" customFormat="1" ht="15" customHeight="1">
      <c r="A91" s="854" t="s">
        <v>1225</v>
      </c>
      <c r="B91" s="852"/>
      <c r="C91" s="592"/>
      <c r="D91" s="614">
        <f>D93</f>
        <v>2974099</v>
      </c>
      <c r="E91" s="614">
        <f aca="true" t="shared" si="0" ref="E91">E93</f>
        <v>0</v>
      </c>
      <c r="F91" s="585">
        <f>D91-E91</f>
        <v>2974099</v>
      </c>
      <c r="G91" s="573"/>
    </row>
    <row r="92" spans="1:7" s="597" customFormat="1" ht="15" customHeight="1">
      <c r="A92" s="352"/>
      <c r="B92" s="375">
        <v>4610</v>
      </c>
      <c r="C92" s="592"/>
      <c r="D92" s="614"/>
      <c r="E92" s="585"/>
      <c r="F92" s="585"/>
      <c r="G92" s="573"/>
    </row>
    <row r="93" spans="1:7" s="597" customFormat="1" ht="15" customHeight="1">
      <c r="A93" s="979"/>
      <c r="B93" s="854" t="s">
        <v>1226</v>
      </c>
      <c r="C93" s="592"/>
      <c r="D93" s="614">
        <f>D95</f>
        <v>2974099</v>
      </c>
      <c r="E93" s="614">
        <f>E95</f>
        <v>0</v>
      </c>
      <c r="F93" s="585">
        <f>D93-E93</f>
        <v>2974099</v>
      </c>
      <c r="G93" s="573"/>
    </row>
    <row r="94" spans="1:7" s="597" customFormat="1" ht="15" customHeight="1">
      <c r="A94" s="979"/>
      <c r="B94" s="854"/>
      <c r="C94" s="593">
        <v>4611</v>
      </c>
      <c r="D94" s="618"/>
      <c r="E94" s="598"/>
      <c r="F94" s="598"/>
      <c r="G94" s="580"/>
    </row>
    <row r="95" spans="1:7" s="597" customFormat="1" ht="15" customHeight="1">
      <c r="A95" s="979"/>
      <c r="B95" s="854"/>
      <c r="C95" s="592" t="s">
        <v>1227</v>
      </c>
      <c r="D95" s="618">
        <v>2974099</v>
      </c>
      <c r="E95" s="598">
        <v>0</v>
      </c>
      <c r="F95" s="598">
        <f>D95-E95</f>
        <v>2974099</v>
      </c>
      <c r="G95" s="580"/>
    </row>
    <row r="96" spans="1:7" s="597" customFormat="1" ht="15" customHeight="1">
      <c r="A96" s="377">
        <v>1200</v>
      </c>
      <c r="B96" s="515"/>
      <c r="C96" s="385"/>
      <c r="D96" s="516"/>
      <c r="E96" s="584"/>
      <c r="F96" s="584"/>
      <c r="G96" s="517"/>
    </row>
    <row r="97" spans="1:7" s="597" customFormat="1" ht="15" customHeight="1">
      <c r="A97" s="853" t="s">
        <v>1228</v>
      </c>
      <c r="B97" s="515"/>
      <c r="C97" s="385"/>
      <c r="D97" s="516">
        <f>D99</f>
        <v>58291930</v>
      </c>
      <c r="E97" s="522">
        <f>E99</f>
        <v>58291930</v>
      </c>
      <c r="F97" s="522">
        <f>D97-E97</f>
        <v>0</v>
      </c>
      <c r="G97" s="517"/>
    </row>
    <row r="98" spans="1:7" s="597" customFormat="1" ht="15" customHeight="1">
      <c r="A98" s="854" t="s">
        <v>1229</v>
      </c>
      <c r="B98" s="590">
        <v>1260</v>
      </c>
      <c r="C98" s="595"/>
      <c r="D98" s="613"/>
      <c r="E98" s="586"/>
      <c r="F98" s="586"/>
      <c r="G98" s="604"/>
    </row>
    <row r="99" spans="1:7" s="597" customFormat="1" ht="15" customHeight="1">
      <c r="A99" s="591"/>
      <c r="B99" s="854" t="s">
        <v>1230</v>
      </c>
      <c r="C99" s="596"/>
      <c r="D99" s="618">
        <f>D101+D103</f>
        <v>58291930</v>
      </c>
      <c r="E99" s="598">
        <f>E101+E103</f>
        <v>58291930</v>
      </c>
      <c r="F99" s="598">
        <f>D99-E99</f>
        <v>0</v>
      </c>
      <c r="G99" s="603"/>
    </row>
    <row r="100" spans="1:7" s="597" customFormat="1" ht="15" customHeight="1">
      <c r="A100" s="591"/>
      <c r="B100" s="591"/>
      <c r="C100" s="594">
        <v>1263</v>
      </c>
      <c r="D100" s="613"/>
      <c r="E100" s="586"/>
      <c r="F100" s="586"/>
      <c r="G100" s="604"/>
    </row>
    <row r="101" spans="1:7" s="597" customFormat="1" ht="15" customHeight="1">
      <c r="A101" s="591"/>
      <c r="B101" s="591"/>
      <c r="C101" s="596" t="s">
        <v>1231</v>
      </c>
      <c r="D101" s="618">
        <v>17754230</v>
      </c>
      <c r="E101" s="598">
        <v>17754230</v>
      </c>
      <c r="F101" s="598">
        <f>D101-E101</f>
        <v>0</v>
      </c>
      <c r="G101" s="603"/>
    </row>
    <row r="102" spans="1:7" s="597" customFormat="1" ht="15" customHeight="1">
      <c r="A102" s="591"/>
      <c r="B102" s="591"/>
      <c r="C102" s="594">
        <v>1266</v>
      </c>
      <c r="D102" s="613"/>
      <c r="E102" s="586"/>
      <c r="F102" s="586"/>
      <c r="G102" s="604"/>
    </row>
    <row r="103" spans="1:7" s="597" customFormat="1" ht="15" customHeight="1">
      <c r="A103" s="591"/>
      <c r="B103" s="591"/>
      <c r="C103" s="596" t="s">
        <v>1232</v>
      </c>
      <c r="D103" s="618">
        <v>40537700</v>
      </c>
      <c r="E103" s="598">
        <v>40537700</v>
      </c>
      <c r="F103" s="598">
        <f>D103-E103</f>
        <v>0</v>
      </c>
      <c r="G103" s="603"/>
    </row>
    <row r="104" spans="1:7" s="374" customFormat="1" ht="15" customHeight="1">
      <c r="A104" s="590">
        <v>1300</v>
      </c>
      <c r="B104" s="590"/>
      <c r="C104" s="594"/>
      <c r="D104" s="612"/>
      <c r="E104" s="574"/>
      <c r="F104" s="574"/>
      <c r="G104" s="574"/>
    </row>
    <row r="105" spans="1:7" s="597" customFormat="1" ht="11.25">
      <c r="A105" s="854" t="s">
        <v>1233</v>
      </c>
      <c r="B105" s="852"/>
      <c r="C105" s="592"/>
      <c r="D105" s="606">
        <f>SUM(D107)</f>
        <v>16000000</v>
      </c>
      <c r="E105" s="606">
        <f>SUM(E107)</f>
        <v>25000000</v>
      </c>
      <c r="F105" s="573">
        <f>D105-E105</f>
        <v>-9000000</v>
      </c>
      <c r="G105" s="573"/>
    </row>
    <row r="106" spans="1:7" s="374" customFormat="1" ht="11.25">
      <c r="A106" s="854" t="s">
        <v>1234</v>
      </c>
      <c r="B106" s="360">
        <v>1310</v>
      </c>
      <c r="C106" s="594"/>
      <c r="D106" s="615"/>
      <c r="E106" s="574"/>
      <c r="F106" s="574"/>
      <c r="G106" s="574"/>
    </row>
    <row r="107" spans="1:7" s="597" customFormat="1" ht="11.25">
      <c r="A107" s="854"/>
      <c r="B107" s="854" t="s">
        <v>1235</v>
      </c>
      <c r="C107" s="592"/>
      <c r="D107" s="606">
        <f>SUM(D108:D111)</f>
        <v>16000000</v>
      </c>
      <c r="E107" s="573">
        <f>SUM(E108:E111)</f>
        <v>25000000</v>
      </c>
      <c r="F107" s="573">
        <f>D107-E107</f>
        <v>-9000000</v>
      </c>
      <c r="G107" s="573"/>
    </row>
    <row r="108" spans="1:7" s="374" customFormat="1" ht="11.25">
      <c r="A108" s="360"/>
      <c r="B108" s="854" t="s">
        <v>1234</v>
      </c>
      <c r="C108" s="594">
        <v>1314</v>
      </c>
      <c r="D108" s="615"/>
      <c r="E108" s="574"/>
      <c r="F108" s="574"/>
      <c r="G108" s="574"/>
    </row>
    <row r="109" spans="1:7" s="597" customFormat="1" ht="11.25">
      <c r="A109" s="591"/>
      <c r="B109" s="591"/>
      <c r="C109" s="592" t="s">
        <v>1236</v>
      </c>
      <c r="D109" s="606">
        <v>8000000</v>
      </c>
      <c r="E109" s="573">
        <v>15000000</v>
      </c>
      <c r="F109" s="573">
        <f>D109-E109</f>
        <v>-7000000</v>
      </c>
      <c r="G109" s="573"/>
    </row>
    <row r="110" spans="1:7" s="374" customFormat="1" ht="11.25">
      <c r="A110" s="360"/>
      <c r="B110" s="360"/>
      <c r="C110" s="594">
        <v>1315</v>
      </c>
      <c r="D110" s="615"/>
      <c r="E110" s="574"/>
      <c r="F110" s="574"/>
      <c r="G110" s="574"/>
    </row>
    <row r="111" spans="1:7" s="597" customFormat="1" ht="11.25">
      <c r="A111" s="591"/>
      <c r="B111" s="591"/>
      <c r="C111" s="592" t="s">
        <v>1237</v>
      </c>
      <c r="D111" s="606">
        <v>8000000</v>
      </c>
      <c r="E111" s="573">
        <v>10000000</v>
      </c>
      <c r="F111" s="573">
        <f>D111-E111</f>
        <v>-2000000</v>
      </c>
      <c r="G111" s="573"/>
    </row>
    <row r="112" spans="1:7" s="597" customFormat="1" ht="15.75" customHeight="1">
      <c r="A112" s="1076" t="s">
        <v>1238</v>
      </c>
      <c r="B112" s="1076"/>
      <c r="C112" s="1076"/>
      <c r="D112" s="432">
        <f>D105+D97+D91+D85+D79+D71+D27+D7</f>
        <v>3065595169</v>
      </c>
      <c r="E112" s="432">
        <f>E105+E97+E85+E79+E71+E27+E7</f>
        <v>3186396130</v>
      </c>
      <c r="F112" s="333">
        <f>D112-E112</f>
        <v>-120800961</v>
      </c>
      <c r="G112" s="333"/>
    </row>
  </sheetData>
  <mergeCells count="7">
    <mergeCell ref="A112:C112"/>
    <mergeCell ref="B37:B39"/>
    <mergeCell ref="A1:G1"/>
    <mergeCell ref="A2:G2"/>
    <mergeCell ref="A3:G3"/>
    <mergeCell ref="A4:C4"/>
    <mergeCell ref="G4:G5"/>
  </mergeCells>
  <printOptions/>
  <pageMargins left="0.7086614173228347" right="0.7086614173228347" top="0.5118110236220472" bottom="0.3937007874015748" header="0.31496062992125984" footer="0.1968503937007874"/>
  <pageSetup horizontalDpi="600" verticalDpi="600" orientation="landscape" paperSize="9" r:id="rId2"/>
  <headerFooter>
    <oddHeader>&amp;L&amp;"굴림체,보통"&amp;9&lt;별지제2호서식&gt;</oddHeader>
    <oddFooter>&amp;C&amp;P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J41" sqref="J41"/>
    </sheetView>
  </sheetViews>
  <sheetFormatPr defaultColWidth="9.00390625" defaultRowHeight="14.25"/>
  <cols>
    <col min="1" max="1" width="11.375" style="3" customWidth="1"/>
    <col min="2" max="2" width="13.125" style="3" customWidth="1"/>
    <col min="3" max="3" width="16.50390625" style="3" customWidth="1"/>
    <col min="4" max="4" width="16.125" style="3" customWidth="1"/>
    <col min="5" max="5" width="12.50390625" style="3" customWidth="1"/>
    <col min="6" max="6" width="16.50390625" style="506" customWidth="1"/>
    <col min="7" max="7" width="16.875" style="506" bestFit="1" customWidth="1"/>
    <col min="8" max="8" width="15.625" style="3" customWidth="1"/>
    <col min="9" max="256" width="9.00390625" style="3" customWidth="1"/>
    <col min="257" max="257" width="11.375" style="3" customWidth="1"/>
    <col min="258" max="258" width="13.125" style="3" customWidth="1"/>
    <col min="259" max="259" width="16.50390625" style="3" customWidth="1"/>
    <col min="260" max="260" width="16.125" style="3" customWidth="1"/>
    <col min="261" max="261" width="12.50390625" style="3" customWidth="1"/>
    <col min="262" max="262" width="16.50390625" style="3" customWidth="1"/>
    <col min="263" max="263" width="16.875" style="3" bestFit="1" customWidth="1"/>
    <col min="264" max="264" width="13.00390625" style="3" customWidth="1"/>
    <col min="265" max="512" width="9.00390625" style="3" customWidth="1"/>
    <col min="513" max="513" width="11.375" style="3" customWidth="1"/>
    <col min="514" max="514" width="13.125" style="3" customWidth="1"/>
    <col min="515" max="515" width="16.50390625" style="3" customWidth="1"/>
    <col min="516" max="516" width="16.125" style="3" customWidth="1"/>
    <col min="517" max="517" width="12.50390625" style="3" customWidth="1"/>
    <col min="518" max="518" width="16.50390625" style="3" customWidth="1"/>
    <col min="519" max="519" width="16.875" style="3" bestFit="1" customWidth="1"/>
    <col min="520" max="520" width="13.00390625" style="3" customWidth="1"/>
    <col min="521" max="768" width="9.00390625" style="3" customWidth="1"/>
    <col min="769" max="769" width="11.375" style="3" customWidth="1"/>
    <col min="770" max="770" width="13.125" style="3" customWidth="1"/>
    <col min="771" max="771" width="16.50390625" style="3" customWidth="1"/>
    <col min="772" max="772" width="16.125" style="3" customWidth="1"/>
    <col min="773" max="773" width="12.50390625" style="3" customWidth="1"/>
    <col min="774" max="774" width="16.50390625" style="3" customWidth="1"/>
    <col min="775" max="775" width="16.875" style="3" bestFit="1" customWidth="1"/>
    <col min="776" max="776" width="13.00390625" style="3" customWidth="1"/>
    <col min="777" max="1024" width="9.00390625" style="3" customWidth="1"/>
    <col min="1025" max="1025" width="11.375" style="3" customWidth="1"/>
    <col min="1026" max="1026" width="13.125" style="3" customWidth="1"/>
    <col min="1027" max="1027" width="16.50390625" style="3" customWidth="1"/>
    <col min="1028" max="1028" width="16.125" style="3" customWidth="1"/>
    <col min="1029" max="1029" width="12.50390625" style="3" customWidth="1"/>
    <col min="1030" max="1030" width="16.50390625" style="3" customWidth="1"/>
    <col min="1031" max="1031" width="16.875" style="3" bestFit="1" customWidth="1"/>
    <col min="1032" max="1032" width="13.00390625" style="3" customWidth="1"/>
    <col min="1033" max="1280" width="9.00390625" style="3" customWidth="1"/>
    <col min="1281" max="1281" width="11.375" style="3" customWidth="1"/>
    <col min="1282" max="1282" width="13.125" style="3" customWidth="1"/>
    <col min="1283" max="1283" width="16.50390625" style="3" customWidth="1"/>
    <col min="1284" max="1284" width="16.125" style="3" customWidth="1"/>
    <col min="1285" max="1285" width="12.50390625" style="3" customWidth="1"/>
    <col min="1286" max="1286" width="16.50390625" style="3" customWidth="1"/>
    <col min="1287" max="1287" width="16.875" style="3" bestFit="1" customWidth="1"/>
    <col min="1288" max="1288" width="13.00390625" style="3" customWidth="1"/>
    <col min="1289" max="1536" width="9.00390625" style="3" customWidth="1"/>
    <col min="1537" max="1537" width="11.375" style="3" customWidth="1"/>
    <col min="1538" max="1538" width="13.125" style="3" customWidth="1"/>
    <col min="1539" max="1539" width="16.50390625" style="3" customWidth="1"/>
    <col min="1540" max="1540" width="16.125" style="3" customWidth="1"/>
    <col min="1541" max="1541" width="12.50390625" style="3" customWidth="1"/>
    <col min="1542" max="1542" width="16.50390625" style="3" customWidth="1"/>
    <col min="1543" max="1543" width="16.875" style="3" bestFit="1" customWidth="1"/>
    <col min="1544" max="1544" width="13.00390625" style="3" customWidth="1"/>
    <col min="1545" max="1792" width="9.00390625" style="3" customWidth="1"/>
    <col min="1793" max="1793" width="11.375" style="3" customWidth="1"/>
    <col min="1794" max="1794" width="13.125" style="3" customWidth="1"/>
    <col min="1795" max="1795" width="16.50390625" style="3" customWidth="1"/>
    <col min="1796" max="1796" width="16.125" style="3" customWidth="1"/>
    <col min="1797" max="1797" width="12.50390625" style="3" customWidth="1"/>
    <col min="1798" max="1798" width="16.50390625" style="3" customWidth="1"/>
    <col min="1799" max="1799" width="16.875" style="3" bestFit="1" customWidth="1"/>
    <col min="1800" max="1800" width="13.00390625" style="3" customWidth="1"/>
    <col min="1801" max="2048" width="9.00390625" style="3" customWidth="1"/>
    <col min="2049" max="2049" width="11.375" style="3" customWidth="1"/>
    <col min="2050" max="2050" width="13.125" style="3" customWidth="1"/>
    <col min="2051" max="2051" width="16.50390625" style="3" customWidth="1"/>
    <col min="2052" max="2052" width="16.125" style="3" customWidth="1"/>
    <col min="2053" max="2053" width="12.50390625" style="3" customWidth="1"/>
    <col min="2054" max="2054" width="16.50390625" style="3" customWidth="1"/>
    <col min="2055" max="2055" width="16.875" style="3" bestFit="1" customWidth="1"/>
    <col min="2056" max="2056" width="13.00390625" style="3" customWidth="1"/>
    <col min="2057" max="2304" width="9.00390625" style="3" customWidth="1"/>
    <col min="2305" max="2305" width="11.375" style="3" customWidth="1"/>
    <col min="2306" max="2306" width="13.125" style="3" customWidth="1"/>
    <col min="2307" max="2307" width="16.50390625" style="3" customWidth="1"/>
    <col min="2308" max="2308" width="16.125" style="3" customWidth="1"/>
    <col min="2309" max="2309" width="12.50390625" style="3" customWidth="1"/>
    <col min="2310" max="2310" width="16.50390625" style="3" customWidth="1"/>
    <col min="2311" max="2311" width="16.875" style="3" bestFit="1" customWidth="1"/>
    <col min="2312" max="2312" width="13.00390625" style="3" customWidth="1"/>
    <col min="2313" max="2560" width="9.00390625" style="3" customWidth="1"/>
    <col min="2561" max="2561" width="11.375" style="3" customWidth="1"/>
    <col min="2562" max="2562" width="13.125" style="3" customWidth="1"/>
    <col min="2563" max="2563" width="16.50390625" style="3" customWidth="1"/>
    <col min="2564" max="2564" width="16.125" style="3" customWidth="1"/>
    <col min="2565" max="2565" width="12.50390625" style="3" customWidth="1"/>
    <col min="2566" max="2566" width="16.50390625" style="3" customWidth="1"/>
    <col min="2567" max="2567" width="16.875" style="3" bestFit="1" customWidth="1"/>
    <col min="2568" max="2568" width="13.00390625" style="3" customWidth="1"/>
    <col min="2569" max="2816" width="9.00390625" style="3" customWidth="1"/>
    <col min="2817" max="2817" width="11.375" style="3" customWidth="1"/>
    <col min="2818" max="2818" width="13.125" style="3" customWidth="1"/>
    <col min="2819" max="2819" width="16.50390625" style="3" customWidth="1"/>
    <col min="2820" max="2820" width="16.125" style="3" customWidth="1"/>
    <col min="2821" max="2821" width="12.50390625" style="3" customWidth="1"/>
    <col min="2822" max="2822" width="16.50390625" style="3" customWidth="1"/>
    <col min="2823" max="2823" width="16.875" style="3" bestFit="1" customWidth="1"/>
    <col min="2824" max="2824" width="13.00390625" style="3" customWidth="1"/>
    <col min="2825" max="3072" width="9.00390625" style="3" customWidth="1"/>
    <col min="3073" max="3073" width="11.375" style="3" customWidth="1"/>
    <col min="3074" max="3074" width="13.125" style="3" customWidth="1"/>
    <col min="3075" max="3075" width="16.50390625" style="3" customWidth="1"/>
    <col min="3076" max="3076" width="16.125" style="3" customWidth="1"/>
    <col min="3077" max="3077" width="12.50390625" style="3" customWidth="1"/>
    <col min="3078" max="3078" width="16.50390625" style="3" customWidth="1"/>
    <col min="3079" max="3079" width="16.875" style="3" bestFit="1" customWidth="1"/>
    <col min="3080" max="3080" width="13.00390625" style="3" customWidth="1"/>
    <col min="3081" max="3328" width="9.00390625" style="3" customWidth="1"/>
    <col min="3329" max="3329" width="11.375" style="3" customWidth="1"/>
    <col min="3330" max="3330" width="13.125" style="3" customWidth="1"/>
    <col min="3331" max="3331" width="16.50390625" style="3" customWidth="1"/>
    <col min="3332" max="3332" width="16.125" style="3" customWidth="1"/>
    <col min="3333" max="3333" width="12.50390625" style="3" customWidth="1"/>
    <col min="3334" max="3334" width="16.50390625" style="3" customWidth="1"/>
    <col min="3335" max="3335" width="16.875" style="3" bestFit="1" customWidth="1"/>
    <col min="3336" max="3336" width="13.00390625" style="3" customWidth="1"/>
    <col min="3337" max="3584" width="9.00390625" style="3" customWidth="1"/>
    <col min="3585" max="3585" width="11.375" style="3" customWidth="1"/>
    <col min="3586" max="3586" width="13.125" style="3" customWidth="1"/>
    <col min="3587" max="3587" width="16.50390625" style="3" customWidth="1"/>
    <col min="3588" max="3588" width="16.125" style="3" customWidth="1"/>
    <col min="3589" max="3589" width="12.50390625" style="3" customWidth="1"/>
    <col min="3590" max="3590" width="16.50390625" style="3" customWidth="1"/>
    <col min="3591" max="3591" width="16.875" style="3" bestFit="1" customWidth="1"/>
    <col min="3592" max="3592" width="13.00390625" style="3" customWidth="1"/>
    <col min="3593" max="3840" width="9.00390625" style="3" customWidth="1"/>
    <col min="3841" max="3841" width="11.375" style="3" customWidth="1"/>
    <col min="3842" max="3842" width="13.125" style="3" customWidth="1"/>
    <col min="3843" max="3843" width="16.50390625" style="3" customWidth="1"/>
    <col min="3844" max="3844" width="16.125" style="3" customWidth="1"/>
    <col min="3845" max="3845" width="12.50390625" style="3" customWidth="1"/>
    <col min="3846" max="3846" width="16.50390625" style="3" customWidth="1"/>
    <col min="3847" max="3847" width="16.875" style="3" bestFit="1" customWidth="1"/>
    <col min="3848" max="3848" width="13.00390625" style="3" customWidth="1"/>
    <col min="3849" max="4096" width="9.00390625" style="3" customWidth="1"/>
    <col min="4097" max="4097" width="11.375" style="3" customWidth="1"/>
    <col min="4098" max="4098" width="13.125" style="3" customWidth="1"/>
    <col min="4099" max="4099" width="16.50390625" style="3" customWidth="1"/>
    <col min="4100" max="4100" width="16.125" style="3" customWidth="1"/>
    <col min="4101" max="4101" width="12.50390625" style="3" customWidth="1"/>
    <col min="4102" max="4102" width="16.50390625" style="3" customWidth="1"/>
    <col min="4103" max="4103" width="16.875" style="3" bestFit="1" customWidth="1"/>
    <col min="4104" max="4104" width="13.00390625" style="3" customWidth="1"/>
    <col min="4105" max="4352" width="9.00390625" style="3" customWidth="1"/>
    <col min="4353" max="4353" width="11.375" style="3" customWidth="1"/>
    <col min="4354" max="4354" width="13.125" style="3" customWidth="1"/>
    <col min="4355" max="4355" width="16.50390625" style="3" customWidth="1"/>
    <col min="4356" max="4356" width="16.125" style="3" customWidth="1"/>
    <col min="4357" max="4357" width="12.50390625" style="3" customWidth="1"/>
    <col min="4358" max="4358" width="16.50390625" style="3" customWidth="1"/>
    <col min="4359" max="4359" width="16.875" style="3" bestFit="1" customWidth="1"/>
    <col min="4360" max="4360" width="13.00390625" style="3" customWidth="1"/>
    <col min="4361" max="4608" width="9.00390625" style="3" customWidth="1"/>
    <col min="4609" max="4609" width="11.375" style="3" customWidth="1"/>
    <col min="4610" max="4610" width="13.125" style="3" customWidth="1"/>
    <col min="4611" max="4611" width="16.50390625" style="3" customWidth="1"/>
    <col min="4612" max="4612" width="16.125" style="3" customWidth="1"/>
    <col min="4613" max="4613" width="12.50390625" style="3" customWidth="1"/>
    <col min="4614" max="4614" width="16.50390625" style="3" customWidth="1"/>
    <col min="4615" max="4615" width="16.875" style="3" bestFit="1" customWidth="1"/>
    <col min="4616" max="4616" width="13.00390625" style="3" customWidth="1"/>
    <col min="4617" max="4864" width="9.00390625" style="3" customWidth="1"/>
    <col min="4865" max="4865" width="11.375" style="3" customWidth="1"/>
    <col min="4866" max="4866" width="13.125" style="3" customWidth="1"/>
    <col min="4867" max="4867" width="16.50390625" style="3" customWidth="1"/>
    <col min="4868" max="4868" width="16.125" style="3" customWidth="1"/>
    <col min="4869" max="4869" width="12.50390625" style="3" customWidth="1"/>
    <col min="4870" max="4870" width="16.50390625" style="3" customWidth="1"/>
    <col min="4871" max="4871" width="16.875" style="3" bestFit="1" customWidth="1"/>
    <col min="4872" max="4872" width="13.00390625" style="3" customWidth="1"/>
    <col min="4873" max="5120" width="9.00390625" style="3" customWidth="1"/>
    <col min="5121" max="5121" width="11.375" style="3" customWidth="1"/>
    <col min="5122" max="5122" width="13.125" style="3" customWidth="1"/>
    <col min="5123" max="5123" width="16.50390625" style="3" customWidth="1"/>
    <col min="5124" max="5124" width="16.125" style="3" customWidth="1"/>
    <col min="5125" max="5125" width="12.50390625" style="3" customWidth="1"/>
    <col min="5126" max="5126" width="16.50390625" style="3" customWidth="1"/>
    <col min="5127" max="5127" width="16.875" style="3" bestFit="1" customWidth="1"/>
    <col min="5128" max="5128" width="13.00390625" style="3" customWidth="1"/>
    <col min="5129" max="5376" width="9.00390625" style="3" customWidth="1"/>
    <col min="5377" max="5377" width="11.375" style="3" customWidth="1"/>
    <col min="5378" max="5378" width="13.125" style="3" customWidth="1"/>
    <col min="5379" max="5379" width="16.50390625" style="3" customWidth="1"/>
    <col min="5380" max="5380" width="16.125" style="3" customWidth="1"/>
    <col min="5381" max="5381" width="12.50390625" style="3" customWidth="1"/>
    <col min="5382" max="5382" width="16.50390625" style="3" customWidth="1"/>
    <col min="5383" max="5383" width="16.875" style="3" bestFit="1" customWidth="1"/>
    <col min="5384" max="5384" width="13.00390625" style="3" customWidth="1"/>
    <col min="5385" max="5632" width="9.00390625" style="3" customWidth="1"/>
    <col min="5633" max="5633" width="11.375" style="3" customWidth="1"/>
    <col min="5634" max="5634" width="13.125" style="3" customWidth="1"/>
    <col min="5635" max="5635" width="16.50390625" style="3" customWidth="1"/>
    <col min="5636" max="5636" width="16.125" style="3" customWidth="1"/>
    <col min="5637" max="5637" width="12.50390625" style="3" customWidth="1"/>
    <col min="5638" max="5638" width="16.50390625" style="3" customWidth="1"/>
    <col min="5639" max="5639" width="16.875" style="3" bestFit="1" customWidth="1"/>
    <col min="5640" max="5640" width="13.00390625" style="3" customWidth="1"/>
    <col min="5641" max="5888" width="9.00390625" style="3" customWidth="1"/>
    <col min="5889" max="5889" width="11.375" style="3" customWidth="1"/>
    <col min="5890" max="5890" width="13.125" style="3" customWidth="1"/>
    <col min="5891" max="5891" width="16.50390625" style="3" customWidth="1"/>
    <col min="5892" max="5892" width="16.125" style="3" customWidth="1"/>
    <col min="5893" max="5893" width="12.50390625" style="3" customWidth="1"/>
    <col min="5894" max="5894" width="16.50390625" style="3" customWidth="1"/>
    <col min="5895" max="5895" width="16.875" style="3" bestFit="1" customWidth="1"/>
    <col min="5896" max="5896" width="13.00390625" style="3" customWidth="1"/>
    <col min="5897" max="6144" width="9.00390625" style="3" customWidth="1"/>
    <col min="6145" max="6145" width="11.375" style="3" customWidth="1"/>
    <col min="6146" max="6146" width="13.125" style="3" customWidth="1"/>
    <col min="6147" max="6147" width="16.50390625" style="3" customWidth="1"/>
    <col min="6148" max="6148" width="16.125" style="3" customWidth="1"/>
    <col min="6149" max="6149" width="12.50390625" style="3" customWidth="1"/>
    <col min="6150" max="6150" width="16.50390625" style="3" customWidth="1"/>
    <col min="6151" max="6151" width="16.875" style="3" bestFit="1" customWidth="1"/>
    <col min="6152" max="6152" width="13.00390625" style="3" customWidth="1"/>
    <col min="6153" max="6400" width="9.00390625" style="3" customWidth="1"/>
    <col min="6401" max="6401" width="11.375" style="3" customWidth="1"/>
    <col min="6402" max="6402" width="13.125" style="3" customWidth="1"/>
    <col min="6403" max="6403" width="16.50390625" style="3" customWidth="1"/>
    <col min="6404" max="6404" width="16.125" style="3" customWidth="1"/>
    <col min="6405" max="6405" width="12.50390625" style="3" customWidth="1"/>
    <col min="6406" max="6406" width="16.50390625" style="3" customWidth="1"/>
    <col min="6407" max="6407" width="16.875" style="3" bestFit="1" customWidth="1"/>
    <col min="6408" max="6408" width="13.00390625" style="3" customWidth="1"/>
    <col min="6409" max="6656" width="9.00390625" style="3" customWidth="1"/>
    <col min="6657" max="6657" width="11.375" style="3" customWidth="1"/>
    <col min="6658" max="6658" width="13.125" style="3" customWidth="1"/>
    <col min="6659" max="6659" width="16.50390625" style="3" customWidth="1"/>
    <col min="6660" max="6660" width="16.125" style="3" customWidth="1"/>
    <col min="6661" max="6661" width="12.50390625" style="3" customWidth="1"/>
    <col min="6662" max="6662" width="16.50390625" style="3" customWidth="1"/>
    <col min="6663" max="6663" width="16.875" style="3" bestFit="1" customWidth="1"/>
    <col min="6664" max="6664" width="13.00390625" style="3" customWidth="1"/>
    <col min="6665" max="6912" width="9.00390625" style="3" customWidth="1"/>
    <col min="6913" max="6913" width="11.375" style="3" customWidth="1"/>
    <col min="6914" max="6914" width="13.125" style="3" customWidth="1"/>
    <col min="6915" max="6915" width="16.50390625" style="3" customWidth="1"/>
    <col min="6916" max="6916" width="16.125" style="3" customWidth="1"/>
    <col min="6917" max="6917" width="12.50390625" style="3" customWidth="1"/>
    <col min="6918" max="6918" width="16.50390625" style="3" customWidth="1"/>
    <col min="6919" max="6919" width="16.875" style="3" bestFit="1" customWidth="1"/>
    <col min="6920" max="6920" width="13.00390625" style="3" customWidth="1"/>
    <col min="6921" max="7168" width="9.00390625" style="3" customWidth="1"/>
    <col min="7169" max="7169" width="11.375" style="3" customWidth="1"/>
    <col min="7170" max="7170" width="13.125" style="3" customWidth="1"/>
    <col min="7171" max="7171" width="16.50390625" style="3" customWidth="1"/>
    <col min="7172" max="7172" width="16.125" style="3" customWidth="1"/>
    <col min="7173" max="7173" width="12.50390625" style="3" customWidth="1"/>
    <col min="7174" max="7174" width="16.50390625" style="3" customWidth="1"/>
    <col min="7175" max="7175" width="16.875" style="3" bestFit="1" customWidth="1"/>
    <col min="7176" max="7176" width="13.00390625" style="3" customWidth="1"/>
    <col min="7177" max="7424" width="9.00390625" style="3" customWidth="1"/>
    <col min="7425" max="7425" width="11.375" style="3" customWidth="1"/>
    <col min="7426" max="7426" width="13.125" style="3" customWidth="1"/>
    <col min="7427" max="7427" width="16.50390625" style="3" customWidth="1"/>
    <col min="7428" max="7428" width="16.125" style="3" customWidth="1"/>
    <col min="7429" max="7429" width="12.50390625" style="3" customWidth="1"/>
    <col min="7430" max="7430" width="16.50390625" style="3" customWidth="1"/>
    <col min="7431" max="7431" width="16.875" style="3" bestFit="1" customWidth="1"/>
    <col min="7432" max="7432" width="13.00390625" style="3" customWidth="1"/>
    <col min="7433" max="7680" width="9.00390625" style="3" customWidth="1"/>
    <col min="7681" max="7681" width="11.375" style="3" customWidth="1"/>
    <col min="7682" max="7682" width="13.125" style="3" customWidth="1"/>
    <col min="7683" max="7683" width="16.50390625" style="3" customWidth="1"/>
    <col min="7684" max="7684" width="16.125" style="3" customWidth="1"/>
    <col min="7685" max="7685" width="12.50390625" style="3" customWidth="1"/>
    <col min="7686" max="7686" width="16.50390625" style="3" customWidth="1"/>
    <col min="7687" max="7687" width="16.875" style="3" bestFit="1" customWidth="1"/>
    <col min="7688" max="7688" width="13.00390625" style="3" customWidth="1"/>
    <col min="7689" max="7936" width="9.00390625" style="3" customWidth="1"/>
    <col min="7937" max="7937" width="11.375" style="3" customWidth="1"/>
    <col min="7938" max="7938" width="13.125" style="3" customWidth="1"/>
    <col min="7939" max="7939" width="16.50390625" style="3" customWidth="1"/>
    <col min="7940" max="7940" width="16.125" style="3" customWidth="1"/>
    <col min="7941" max="7941" width="12.50390625" style="3" customWidth="1"/>
    <col min="7942" max="7942" width="16.50390625" style="3" customWidth="1"/>
    <col min="7943" max="7943" width="16.875" style="3" bestFit="1" customWidth="1"/>
    <col min="7944" max="7944" width="13.00390625" style="3" customWidth="1"/>
    <col min="7945" max="8192" width="9.00390625" style="3" customWidth="1"/>
    <col min="8193" max="8193" width="11.375" style="3" customWidth="1"/>
    <col min="8194" max="8194" width="13.125" style="3" customWidth="1"/>
    <col min="8195" max="8195" width="16.50390625" style="3" customWidth="1"/>
    <col min="8196" max="8196" width="16.125" style="3" customWidth="1"/>
    <col min="8197" max="8197" width="12.50390625" style="3" customWidth="1"/>
    <col min="8198" max="8198" width="16.50390625" style="3" customWidth="1"/>
    <col min="8199" max="8199" width="16.875" style="3" bestFit="1" customWidth="1"/>
    <col min="8200" max="8200" width="13.00390625" style="3" customWidth="1"/>
    <col min="8201" max="8448" width="9.00390625" style="3" customWidth="1"/>
    <col min="8449" max="8449" width="11.375" style="3" customWidth="1"/>
    <col min="8450" max="8450" width="13.125" style="3" customWidth="1"/>
    <col min="8451" max="8451" width="16.50390625" style="3" customWidth="1"/>
    <col min="8452" max="8452" width="16.125" style="3" customWidth="1"/>
    <col min="8453" max="8453" width="12.50390625" style="3" customWidth="1"/>
    <col min="8454" max="8454" width="16.50390625" style="3" customWidth="1"/>
    <col min="8455" max="8455" width="16.875" style="3" bestFit="1" customWidth="1"/>
    <col min="8456" max="8456" width="13.00390625" style="3" customWidth="1"/>
    <col min="8457" max="8704" width="9.00390625" style="3" customWidth="1"/>
    <col min="8705" max="8705" width="11.375" style="3" customWidth="1"/>
    <col min="8706" max="8706" width="13.125" style="3" customWidth="1"/>
    <col min="8707" max="8707" width="16.50390625" style="3" customWidth="1"/>
    <col min="8708" max="8708" width="16.125" style="3" customWidth="1"/>
    <col min="8709" max="8709" width="12.50390625" style="3" customWidth="1"/>
    <col min="8710" max="8710" width="16.50390625" style="3" customWidth="1"/>
    <col min="8711" max="8711" width="16.875" style="3" bestFit="1" customWidth="1"/>
    <col min="8712" max="8712" width="13.00390625" style="3" customWidth="1"/>
    <col min="8713" max="8960" width="9.00390625" style="3" customWidth="1"/>
    <col min="8961" max="8961" width="11.375" style="3" customWidth="1"/>
    <col min="8962" max="8962" width="13.125" style="3" customWidth="1"/>
    <col min="8963" max="8963" width="16.50390625" style="3" customWidth="1"/>
    <col min="8964" max="8964" width="16.125" style="3" customWidth="1"/>
    <col min="8965" max="8965" width="12.50390625" style="3" customWidth="1"/>
    <col min="8966" max="8966" width="16.50390625" style="3" customWidth="1"/>
    <col min="8967" max="8967" width="16.875" style="3" bestFit="1" customWidth="1"/>
    <col min="8968" max="8968" width="13.00390625" style="3" customWidth="1"/>
    <col min="8969" max="9216" width="9.00390625" style="3" customWidth="1"/>
    <col min="9217" max="9217" width="11.375" style="3" customWidth="1"/>
    <col min="9218" max="9218" width="13.125" style="3" customWidth="1"/>
    <col min="9219" max="9219" width="16.50390625" style="3" customWidth="1"/>
    <col min="9220" max="9220" width="16.125" style="3" customWidth="1"/>
    <col min="9221" max="9221" width="12.50390625" style="3" customWidth="1"/>
    <col min="9222" max="9222" width="16.50390625" style="3" customWidth="1"/>
    <col min="9223" max="9223" width="16.875" style="3" bestFit="1" customWidth="1"/>
    <col min="9224" max="9224" width="13.00390625" style="3" customWidth="1"/>
    <col min="9225" max="9472" width="9.00390625" style="3" customWidth="1"/>
    <col min="9473" max="9473" width="11.375" style="3" customWidth="1"/>
    <col min="9474" max="9474" width="13.125" style="3" customWidth="1"/>
    <col min="9475" max="9475" width="16.50390625" style="3" customWidth="1"/>
    <col min="9476" max="9476" width="16.125" style="3" customWidth="1"/>
    <col min="9477" max="9477" width="12.50390625" style="3" customWidth="1"/>
    <col min="9478" max="9478" width="16.50390625" style="3" customWidth="1"/>
    <col min="9479" max="9479" width="16.875" style="3" bestFit="1" customWidth="1"/>
    <col min="9480" max="9480" width="13.00390625" style="3" customWidth="1"/>
    <col min="9481" max="9728" width="9.00390625" style="3" customWidth="1"/>
    <col min="9729" max="9729" width="11.375" style="3" customWidth="1"/>
    <col min="9730" max="9730" width="13.125" style="3" customWidth="1"/>
    <col min="9731" max="9731" width="16.50390625" style="3" customWidth="1"/>
    <col min="9732" max="9732" width="16.125" style="3" customWidth="1"/>
    <col min="9733" max="9733" width="12.50390625" style="3" customWidth="1"/>
    <col min="9734" max="9734" width="16.50390625" style="3" customWidth="1"/>
    <col min="9735" max="9735" width="16.875" style="3" bestFit="1" customWidth="1"/>
    <col min="9736" max="9736" width="13.00390625" style="3" customWidth="1"/>
    <col min="9737" max="9984" width="9.00390625" style="3" customWidth="1"/>
    <col min="9985" max="9985" width="11.375" style="3" customWidth="1"/>
    <col min="9986" max="9986" width="13.125" style="3" customWidth="1"/>
    <col min="9987" max="9987" width="16.50390625" style="3" customWidth="1"/>
    <col min="9988" max="9988" width="16.125" style="3" customWidth="1"/>
    <col min="9989" max="9989" width="12.50390625" style="3" customWidth="1"/>
    <col min="9990" max="9990" width="16.50390625" style="3" customWidth="1"/>
    <col min="9991" max="9991" width="16.875" style="3" bestFit="1" customWidth="1"/>
    <col min="9992" max="9992" width="13.00390625" style="3" customWidth="1"/>
    <col min="9993" max="10240" width="9.00390625" style="3" customWidth="1"/>
    <col min="10241" max="10241" width="11.375" style="3" customWidth="1"/>
    <col min="10242" max="10242" width="13.125" style="3" customWidth="1"/>
    <col min="10243" max="10243" width="16.50390625" style="3" customWidth="1"/>
    <col min="10244" max="10244" width="16.125" style="3" customWidth="1"/>
    <col min="10245" max="10245" width="12.50390625" style="3" customWidth="1"/>
    <col min="10246" max="10246" width="16.50390625" style="3" customWidth="1"/>
    <col min="10247" max="10247" width="16.875" style="3" bestFit="1" customWidth="1"/>
    <col min="10248" max="10248" width="13.00390625" style="3" customWidth="1"/>
    <col min="10249" max="10496" width="9.00390625" style="3" customWidth="1"/>
    <col min="10497" max="10497" width="11.375" style="3" customWidth="1"/>
    <col min="10498" max="10498" width="13.125" style="3" customWidth="1"/>
    <col min="10499" max="10499" width="16.50390625" style="3" customWidth="1"/>
    <col min="10500" max="10500" width="16.125" style="3" customWidth="1"/>
    <col min="10501" max="10501" width="12.50390625" style="3" customWidth="1"/>
    <col min="10502" max="10502" width="16.50390625" style="3" customWidth="1"/>
    <col min="10503" max="10503" width="16.875" style="3" bestFit="1" customWidth="1"/>
    <col min="10504" max="10504" width="13.00390625" style="3" customWidth="1"/>
    <col min="10505" max="10752" width="9.00390625" style="3" customWidth="1"/>
    <col min="10753" max="10753" width="11.375" style="3" customWidth="1"/>
    <col min="10754" max="10754" width="13.125" style="3" customWidth="1"/>
    <col min="10755" max="10755" width="16.50390625" style="3" customWidth="1"/>
    <col min="10756" max="10756" width="16.125" style="3" customWidth="1"/>
    <col min="10757" max="10757" width="12.50390625" style="3" customWidth="1"/>
    <col min="10758" max="10758" width="16.50390625" style="3" customWidth="1"/>
    <col min="10759" max="10759" width="16.875" style="3" bestFit="1" customWidth="1"/>
    <col min="10760" max="10760" width="13.00390625" style="3" customWidth="1"/>
    <col min="10761" max="11008" width="9.00390625" style="3" customWidth="1"/>
    <col min="11009" max="11009" width="11.375" style="3" customWidth="1"/>
    <col min="11010" max="11010" width="13.125" style="3" customWidth="1"/>
    <col min="11011" max="11011" width="16.50390625" style="3" customWidth="1"/>
    <col min="11012" max="11012" width="16.125" style="3" customWidth="1"/>
    <col min="11013" max="11013" width="12.50390625" style="3" customWidth="1"/>
    <col min="11014" max="11014" width="16.50390625" style="3" customWidth="1"/>
    <col min="11015" max="11015" width="16.875" style="3" bestFit="1" customWidth="1"/>
    <col min="11016" max="11016" width="13.00390625" style="3" customWidth="1"/>
    <col min="11017" max="11264" width="9.00390625" style="3" customWidth="1"/>
    <col min="11265" max="11265" width="11.375" style="3" customWidth="1"/>
    <col min="11266" max="11266" width="13.125" style="3" customWidth="1"/>
    <col min="11267" max="11267" width="16.50390625" style="3" customWidth="1"/>
    <col min="11268" max="11268" width="16.125" style="3" customWidth="1"/>
    <col min="11269" max="11269" width="12.50390625" style="3" customWidth="1"/>
    <col min="11270" max="11270" width="16.50390625" style="3" customWidth="1"/>
    <col min="11271" max="11271" width="16.875" style="3" bestFit="1" customWidth="1"/>
    <col min="11272" max="11272" width="13.00390625" style="3" customWidth="1"/>
    <col min="11273" max="11520" width="9.00390625" style="3" customWidth="1"/>
    <col min="11521" max="11521" width="11.375" style="3" customWidth="1"/>
    <col min="11522" max="11522" width="13.125" style="3" customWidth="1"/>
    <col min="11523" max="11523" width="16.50390625" style="3" customWidth="1"/>
    <col min="11524" max="11524" width="16.125" style="3" customWidth="1"/>
    <col min="11525" max="11525" width="12.50390625" style="3" customWidth="1"/>
    <col min="11526" max="11526" width="16.50390625" style="3" customWidth="1"/>
    <col min="11527" max="11527" width="16.875" style="3" bestFit="1" customWidth="1"/>
    <col min="11528" max="11528" width="13.00390625" style="3" customWidth="1"/>
    <col min="11529" max="11776" width="9.00390625" style="3" customWidth="1"/>
    <col min="11777" max="11777" width="11.375" style="3" customWidth="1"/>
    <col min="11778" max="11778" width="13.125" style="3" customWidth="1"/>
    <col min="11779" max="11779" width="16.50390625" style="3" customWidth="1"/>
    <col min="11780" max="11780" width="16.125" style="3" customWidth="1"/>
    <col min="11781" max="11781" width="12.50390625" style="3" customWidth="1"/>
    <col min="11782" max="11782" width="16.50390625" style="3" customWidth="1"/>
    <col min="11783" max="11783" width="16.875" style="3" bestFit="1" customWidth="1"/>
    <col min="11784" max="11784" width="13.00390625" style="3" customWidth="1"/>
    <col min="11785" max="12032" width="9.00390625" style="3" customWidth="1"/>
    <col min="12033" max="12033" width="11.375" style="3" customWidth="1"/>
    <col min="12034" max="12034" width="13.125" style="3" customWidth="1"/>
    <col min="12035" max="12035" width="16.50390625" style="3" customWidth="1"/>
    <col min="12036" max="12036" width="16.125" style="3" customWidth="1"/>
    <col min="12037" max="12037" width="12.50390625" style="3" customWidth="1"/>
    <col min="12038" max="12038" width="16.50390625" style="3" customWidth="1"/>
    <col min="12039" max="12039" width="16.875" style="3" bestFit="1" customWidth="1"/>
    <col min="12040" max="12040" width="13.00390625" style="3" customWidth="1"/>
    <col min="12041" max="12288" width="9.00390625" style="3" customWidth="1"/>
    <col min="12289" max="12289" width="11.375" style="3" customWidth="1"/>
    <col min="12290" max="12290" width="13.125" style="3" customWidth="1"/>
    <col min="12291" max="12291" width="16.50390625" style="3" customWidth="1"/>
    <col min="12292" max="12292" width="16.125" style="3" customWidth="1"/>
    <col min="12293" max="12293" width="12.50390625" style="3" customWidth="1"/>
    <col min="12294" max="12294" width="16.50390625" style="3" customWidth="1"/>
    <col min="12295" max="12295" width="16.875" style="3" bestFit="1" customWidth="1"/>
    <col min="12296" max="12296" width="13.00390625" style="3" customWidth="1"/>
    <col min="12297" max="12544" width="9.00390625" style="3" customWidth="1"/>
    <col min="12545" max="12545" width="11.375" style="3" customWidth="1"/>
    <col min="12546" max="12546" width="13.125" style="3" customWidth="1"/>
    <col min="12547" max="12547" width="16.50390625" style="3" customWidth="1"/>
    <col min="12548" max="12548" width="16.125" style="3" customWidth="1"/>
    <col min="12549" max="12549" width="12.50390625" style="3" customWidth="1"/>
    <col min="12550" max="12550" width="16.50390625" style="3" customWidth="1"/>
    <col min="12551" max="12551" width="16.875" style="3" bestFit="1" customWidth="1"/>
    <col min="12552" max="12552" width="13.00390625" style="3" customWidth="1"/>
    <col min="12553" max="12800" width="9.00390625" style="3" customWidth="1"/>
    <col min="12801" max="12801" width="11.375" style="3" customWidth="1"/>
    <col min="12802" max="12802" width="13.125" style="3" customWidth="1"/>
    <col min="12803" max="12803" width="16.50390625" style="3" customWidth="1"/>
    <col min="12804" max="12804" width="16.125" style="3" customWidth="1"/>
    <col min="12805" max="12805" width="12.50390625" style="3" customWidth="1"/>
    <col min="12806" max="12806" width="16.50390625" style="3" customWidth="1"/>
    <col min="12807" max="12807" width="16.875" style="3" bestFit="1" customWidth="1"/>
    <col min="12808" max="12808" width="13.00390625" style="3" customWidth="1"/>
    <col min="12809" max="13056" width="9.00390625" style="3" customWidth="1"/>
    <col min="13057" max="13057" width="11.375" style="3" customWidth="1"/>
    <col min="13058" max="13058" width="13.125" style="3" customWidth="1"/>
    <col min="13059" max="13059" width="16.50390625" style="3" customWidth="1"/>
    <col min="13060" max="13060" width="16.125" style="3" customWidth="1"/>
    <col min="13061" max="13061" width="12.50390625" style="3" customWidth="1"/>
    <col min="13062" max="13062" width="16.50390625" style="3" customWidth="1"/>
    <col min="13063" max="13063" width="16.875" style="3" bestFit="1" customWidth="1"/>
    <col min="13064" max="13064" width="13.00390625" style="3" customWidth="1"/>
    <col min="13065" max="13312" width="9.00390625" style="3" customWidth="1"/>
    <col min="13313" max="13313" width="11.375" style="3" customWidth="1"/>
    <col min="13314" max="13314" width="13.125" style="3" customWidth="1"/>
    <col min="13315" max="13315" width="16.50390625" style="3" customWidth="1"/>
    <col min="13316" max="13316" width="16.125" style="3" customWidth="1"/>
    <col min="13317" max="13317" width="12.50390625" style="3" customWidth="1"/>
    <col min="13318" max="13318" width="16.50390625" style="3" customWidth="1"/>
    <col min="13319" max="13319" width="16.875" style="3" bestFit="1" customWidth="1"/>
    <col min="13320" max="13320" width="13.00390625" style="3" customWidth="1"/>
    <col min="13321" max="13568" width="9.00390625" style="3" customWidth="1"/>
    <col min="13569" max="13569" width="11.375" style="3" customWidth="1"/>
    <col min="13570" max="13570" width="13.125" style="3" customWidth="1"/>
    <col min="13571" max="13571" width="16.50390625" style="3" customWidth="1"/>
    <col min="13572" max="13572" width="16.125" style="3" customWidth="1"/>
    <col min="13573" max="13573" width="12.50390625" style="3" customWidth="1"/>
    <col min="13574" max="13574" width="16.50390625" style="3" customWidth="1"/>
    <col min="13575" max="13575" width="16.875" style="3" bestFit="1" customWidth="1"/>
    <col min="13576" max="13576" width="13.00390625" style="3" customWidth="1"/>
    <col min="13577" max="13824" width="9.00390625" style="3" customWidth="1"/>
    <col min="13825" max="13825" width="11.375" style="3" customWidth="1"/>
    <col min="13826" max="13826" width="13.125" style="3" customWidth="1"/>
    <col min="13827" max="13827" width="16.50390625" style="3" customWidth="1"/>
    <col min="13828" max="13828" width="16.125" style="3" customWidth="1"/>
    <col min="13829" max="13829" width="12.50390625" style="3" customWidth="1"/>
    <col min="13830" max="13830" width="16.50390625" style="3" customWidth="1"/>
    <col min="13831" max="13831" width="16.875" style="3" bestFit="1" customWidth="1"/>
    <col min="13832" max="13832" width="13.00390625" style="3" customWidth="1"/>
    <col min="13833" max="14080" width="9.00390625" style="3" customWidth="1"/>
    <col min="14081" max="14081" width="11.375" style="3" customWidth="1"/>
    <col min="14082" max="14082" width="13.125" style="3" customWidth="1"/>
    <col min="14083" max="14083" width="16.50390625" style="3" customWidth="1"/>
    <col min="14084" max="14084" width="16.125" style="3" customWidth="1"/>
    <col min="14085" max="14085" width="12.50390625" style="3" customWidth="1"/>
    <col min="14086" max="14086" width="16.50390625" style="3" customWidth="1"/>
    <col min="14087" max="14087" width="16.875" style="3" bestFit="1" customWidth="1"/>
    <col min="14088" max="14088" width="13.00390625" style="3" customWidth="1"/>
    <col min="14089" max="14336" width="9.00390625" style="3" customWidth="1"/>
    <col min="14337" max="14337" width="11.375" style="3" customWidth="1"/>
    <col min="14338" max="14338" width="13.125" style="3" customWidth="1"/>
    <col min="14339" max="14339" width="16.50390625" style="3" customWidth="1"/>
    <col min="14340" max="14340" width="16.125" style="3" customWidth="1"/>
    <col min="14341" max="14341" width="12.50390625" style="3" customWidth="1"/>
    <col min="14342" max="14342" width="16.50390625" style="3" customWidth="1"/>
    <col min="14343" max="14343" width="16.875" style="3" bestFit="1" customWidth="1"/>
    <col min="14344" max="14344" width="13.00390625" style="3" customWidth="1"/>
    <col min="14345" max="14592" width="9.00390625" style="3" customWidth="1"/>
    <col min="14593" max="14593" width="11.375" style="3" customWidth="1"/>
    <col min="14594" max="14594" width="13.125" style="3" customWidth="1"/>
    <col min="14595" max="14595" width="16.50390625" style="3" customWidth="1"/>
    <col min="14596" max="14596" width="16.125" style="3" customWidth="1"/>
    <col min="14597" max="14597" width="12.50390625" style="3" customWidth="1"/>
    <col min="14598" max="14598" width="16.50390625" style="3" customWidth="1"/>
    <col min="14599" max="14599" width="16.875" style="3" bestFit="1" customWidth="1"/>
    <col min="14600" max="14600" width="13.00390625" style="3" customWidth="1"/>
    <col min="14601" max="14848" width="9.00390625" style="3" customWidth="1"/>
    <col min="14849" max="14849" width="11.375" style="3" customWidth="1"/>
    <col min="14850" max="14850" width="13.125" style="3" customWidth="1"/>
    <col min="14851" max="14851" width="16.50390625" style="3" customWidth="1"/>
    <col min="14852" max="14852" width="16.125" style="3" customWidth="1"/>
    <col min="14853" max="14853" width="12.50390625" style="3" customWidth="1"/>
    <col min="14854" max="14854" width="16.50390625" style="3" customWidth="1"/>
    <col min="14855" max="14855" width="16.875" style="3" bestFit="1" customWidth="1"/>
    <col min="14856" max="14856" width="13.00390625" style="3" customWidth="1"/>
    <col min="14857" max="15104" width="9.00390625" style="3" customWidth="1"/>
    <col min="15105" max="15105" width="11.375" style="3" customWidth="1"/>
    <col min="15106" max="15106" width="13.125" style="3" customWidth="1"/>
    <col min="15107" max="15107" width="16.50390625" style="3" customWidth="1"/>
    <col min="15108" max="15108" width="16.125" style="3" customWidth="1"/>
    <col min="15109" max="15109" width="12.50390625" style="3" customWidth="1"/>
    <col min="15110" max="15110" width="16.50390625" style="3" customWidth="1"/>
    <col min="15111" max="15111" width="16.875" style="3" bestFit="1" customWidth="1"/>
    <col min="15112" max="15112" width="13.00390625" style="3" customWidth="1"/>
    <col min="15113" max="15360" width="9.00390625" style="3" customWidth="1"/>
    <col min="15361" max="15361" width="11.375" style="3" customWidth="1"/>
    <col min="15362" max="15362" width="13.125" style="3" customWidth="1"/>
    <col min="15363" max="15363" width="16.50390625" style="3" customWidth="1"/>
    <col min="15364" max="15364" width="16.125" style="3" customWidth="1"/>
    <col min="15365" max="15365" width="12.50390625" style="3" customWidth="1"/>
    <col min="15366" max="15366" width="16.50390625" style="3" customWidth="1"/>
    <col min="15367" max="15367" width="16.875" style="3" bestFit="1" customWidth="1"/>
    <col min="15368" max="15368" width="13.00390625" style="3" customWidth="1"/>
    <col min="15369" max="15616" width="9.00390625" style="3" customWidth="1"/>
    <col min="15617" max="15617" width="11.375" style="3" customWidth="1"/>
    <col min="15618" max="15618" width="13.125" style="3" customWidth="1"/>
    <col min="15619" max="15619" width="16.50390625" style="3" customWidth="1"/>
    <col min="15620" max="15620" width="16.125" style="3" customWidth="1"/>
    <col min="15621" max="15621" width="12.50390625" style="3" customWidth="1"/>
    <col min="15622" max="15622" width="16.50390625" style="3" customWidth="1"/>
    <col min="15623" max="15623" width="16.875" style="3" bestFit="1" customWidth="1"/>
    <col min="15624" max="15624" width="13.00390625" style="3" customWidth="1"/>
    <col min="15625" max="15872" width="9.00390625" style="3" customWidth="1"/>
    <col min="15873" max="15873" width="11.375" style="3" customWidth="1"/>
    <col min="15874" max="15874" width="13.125" style="3" customWidth="1"/>
    <col min="15875" max="15875" width="16.50390625" style="3" customWidth="1"/>
    <col min="15876" max="15876" width="16.125" style="3" customWidth="1"/>
    <col min="15877" max="15877" width="12.50390625" style="3" customWidth="1"/>
    <col min="15878" max="15878" width="16.50390625" style="3" customWidth="1"/>
    <col min="15879" max="15879" width="16.875" style="3" bestFit="1" customWidth="1"/>
    <col min="15880" max="15880" width="13.00390625" style="3" customWidth="1"/>
    <col min="15881" max="16128" width="9.00390625" style="3" customWidth="1"/>
    <col min="16129" max="16129" width="11.375" style="3" customWidth="1"/>
    <col min="16130" max="16130" width="13.125" style="3" customWidth="1"/>
    <col min="16131" max="16131" width="16.50390625" style="3" customWidth="1"/>
    <col min="16132" max="16132" width="16.125" style="3" customWidth="1"/>
    <col min="16133" max="16133" width="12.50390625" style="3" customWidth="1"/>
    <col min="16134" max="16134" width="16.50390625" style="3" customWidth="1"/>
    <col min="16135" max="16135" width="16.875" style="3" bestFit="1" customWidth="1"/>
    <col min="16136" max="16136" width="13.00390625" style="3" customWidth="1"/>
    <col min="16137" max="16384" width="9.00390625" style="3" customWidth="1"/>
  </cols>
  <sheetData>
    <row r="1" spans="1:8" ht="26.25" customHeight="1">
      <c r="A1" s="1180" t="s">
        <v>1239</v>
      </c>
      <c r="B1" s="1180"/>
      <c r="C1" s="1180"/>
      <c r="D1" s="1180"/>
      <c r="E1" s="1180"/>
      <c r="F1" s="1180"/>
      <c r="G1" s="1180"/>
      <c r="H1" s="1180"/>
    </row>
    <row r="2" spans="1:8" ht="12.75" customHeight="1">
      <c r="A2" s="275"/>
      <c r="B2" s="275"/>
      <c r="C2" s="275"/>
      <c r="D2" s="275"/>
      <c r="E2" s="275"/>
      <c r="F2" s="503"/>
      <c r="G2" s="503"/>
      <c r="H2" s="510" t="s">
        <v>1240</v>
      </c>
    </row>
    <row r="3" spans="1:8" s="274" customFormat="1" ht="19.5" customHeight="1" thickBot="1">
      <c r="A3" s="277" t="s">
        <v>1241</v>
      </c>
      <c r="B3" s="687" t="s">
        <v>1242</v>
      </c>
      <c r="C3" s="1181" t="s">
        <v>1243</v>
      </c>
      <c r="D3" s="1181"/>
      <c r="E3" s="687" t="s">
        <v>1244</v>
      </c>
      <c r="F3" s="504" t="s">
        <v>1245</v>
      </c>
      <c r="G3" s="504" t="s">
        <v>1246</v>
      </c>
      <c r="H3" s="279" t="s">
        <v>1247</v>
      </c>
    </row>
    <row r="4" spans="1:8" s="274" customFormat="1" ht="14.1" customHeight="1" thickTop="1">
      <c r="A4" s="1171" t="s">
        <v>1248</v>
      </c>
      <c r="B4" s="1196"/>
      <c r="C4" s="691" t="s">
        <v>1249</v>
      </c>
      <c r="D4" s="691"/>
      <c r="E4" s="691"/>
      <c r="F4" s="455"/>
      <c r="G4" s="455"/>
      <c r="H4" s="282"/>
    </row>
    <row r="5" spans="1:8" s="274" customFormat="1" ht="14.1" customHeight="1">
      <c r="A5" s="1172"/>
      <c r="B5" s="1197"/>
      <c r="C5" s="691" t="s">
        <v>1250</v>
      </c>
      <c r="D5" s="691" t="s">
        <v>1251</v>
      </c>
      <c r="E5" s="691"/>
      <c r="F5" s="455"/>
      <c r="G5" s="455"/>
      <c r="H5" s="282"/>
    </row>
    <row r="6" spans="1:8" s="274" customFormat="1" ht="14.1" customHeight="1">
      <c r="A6" s="1172"/>
      <c r="B6" s="1197"/>
      <c r="C6" s="691"/>
      <c r="D6" s="691" t="s">
        <v>1252</v>
      </c>
      <c r="E6" s="691"/>
      <c r="F6" s="455"/>
      <c r="G6" s="455"/>
      <c r="H6" s="282"/>
    </row>
    <row r="7" spans="1:8" s="274" customFormat="1" ht="14.1" customHeight="1">
      <c r="A7" s="1172"/>
      <c r="B7" s="1197"/>
      <c r="C7" s="691"/>
      <c r="D7" s="691" t="s">
        <v>1253</v>
      </c>
      <c r="E7" s="691"/>
      <c r="F7" s="455"/>
      <c r="G7" s="455"/>
      <c r="H7" s="282"/>
    </row>
    <row r="8" spans="1:8" s="274" customFormat="1" ht="14.1" customHeight="1">
      <c r="A8" s="1172"/>
      <c r="B8" s="1197"/>
      <c r="C8" s="691"/>
      <c r="D8" s="691" t="s">
        <v>1254</v>
      </c>
      <c r="E8" s="691"/>
      <c r="F8" s="455"/>
      <c r="G8" s="455"/>
      <c r="H8" s="282"/>
    </row>
    <row r="9" spans="1:8" s="274" customFormat="1" ht="14.1" customHeight="1">
      <c r="A9" s="1172"/>
      <c r="B9" s="1197"/>
      <c r="C9" s="691"/>
      <c r="D9" s="691" t="s">
        <v>1255</v>
      </c>
      <c r="E9" s="691"/>
      <c r="F9" s="455"/>
      <c r="G9" s="455"/>
      <c r="H9" s="282"/>
    </row>
    <row r="10" spans="1:8" s="274" customFormat="1" ht="14.1" customHeight="1">
      <c r="A10" s="1172"/>
      <c r="B10" s="1197"/>
      <c r="C10" s="691" t="s">
        <v>1256</v>
      </c>
      <c r="D10" s="691" t="s">
        <v>1257</v>
      </c>
      <c r="E10" s="691">
        <v>1</v>
      </c>
      <c r="F10" s="455">
        <v>6000000</v>
      </c>
      <c r="G10" s="455">
        <v>6000000</v>
      </c>
      <c r="H10" s="282" t="s">
        <v>1258</v>
      </c>
    </row>
    <row r="11" spans="1:8" s="274" customFormat="1" ht="14.1" customHeight="1">
      <c r="A11" s="1172"/>
      <c r="B11" s="1197"/>
      <c r="C11" s="1167" t="s">
        <v>1259</v>
      </c>
      <c r="D11" s="1166"/>
      <c r="E11" s="691"/>
      <c r="F11" s="455"/>
      <c r="G11" s="455"/>
      <c r="H11" s="282"/>
    </row>
    <row r="12" spans="1:8" s="274" customFormat="1" ht="14.1" customHeight="1">
      <c r="A12" s="1172"/>
      <c r="B12" s="1197"/>
      <c r="C12" s="1167" t="s">
        <v>1260</v>
      </c>
      <c r="D12" s="1166"/>
      <c r="E12" s="691"/>
      <c r="F12" s="455"/>
      <c r="G12" s="455"/>
      <c r="H12" s="282"/>
    </row>
    <row r="13" spans="1:8" s="274" customFormat="1" ht="14.1" customHeight="1">
      <c r="A13" s="1173"/>
      <c r="B13" s="1198"/>
      <c r="C13" s="1167" t="s">
        <v>1261</v>
      </c>
      <c r="D13" s="1166"/>
      <c r="E13" s="691"/>
      <c r="F13" s="455"/>
      <c r="G13" s="455"/>
      <c r="H13" s="282"/>
    </row>
    <row r="14" spans="1:8" s="274" customFormat="1" ht="14.1" customHeight="1">
      <c r="A14" s="1212" t="s">
        <v>1262</v>
      </c>
      <c r="B14" s="438" t="s">
        <v>1263</v>
      </c>
      <c r="C14" s="1167" t="s">
        <v>1264</v>
      </c>
      <c r="D14" s="1166"/>
      <c r="E14" s="688">
        <v>2</v>
      </c>
      <c r="F14" s="456">
        <v>8000000</v>
      </c>
      <c r="G14" s="456">
        <v>4000000</v>
      </c>
      <c r="H14" s="437" t="s">
        <v>1265</v>
      </c>
    </row>
    <row r="15" spans="1:8" s="274" customFormat="1" ht="14.1" customHeight="1">
      <c r="A15" s="1172"/>
      <c r="B15" s="438" t="s">
        <v>1266</v>
      </c>
      <c r="C15" s="1167" t="s">
        <v>1267</v>
      </c>
      <c r="D15" s="1166"/>
      <c r="E15" s="688"/>
      <c r="F15" s="456"/>
      <c r="G15" s="456"/>
      <c r="H15" s="437"/>
    </row>
    <row r="16" spans="1:8" s="274" customFormat="1" ht="14.1" customHeight="1">
      <c r="A16" s="1172"/>
      <c r="B16" s="1170" t="s">
        <v>1268</v>
      </c>
      <c r="C16" s="1170"/>
      <c r="D16" s="1166"/>
      <c r="E16" s="688"/>
      <c r="F16" s="456"/>
      <c r="G16" s="456"/>
      <c r="H16" s="437"/>
    </row>
    <row r="17" spans="1:8" s="274" customFormat="1" ht="14.1" customHeight="1">
      <c r="A17" s="1168" t="s">
        <v>1269</v>
      </c>
      <c r="B17" s="1162"/>
      <c r="C17" s="1162"/>
      <c r="D17" s="1162"/>
      <c r="E17" s="690"/>
      <c r="F17" s="457">
        <f>SUM(F4:F16)</f>
        <v>14000000</v>
      </c>
      <c r="G17" s="457"/>
      <c r="H17" s="284"/>
    </row>
    <row r="18" spans="1:8" s="274" customFormat="1" ht="14.1" customHeight="1">
      <c r="A18" s="1175" t="s">
        <v>1270</v>
      </c>
      <c r="B18" s="1163" t="s">
        <v>1271</v>
      </c>
      <c r="C18" s="689" t="s">
        <v>1272</v>
      </c>
      <c r="D18" s="689"/>
      <c r="E18" s="689">
        <v>5</v>
      </c>
      <c r="F18" s="458">
        <v>150739000</v>
      </c>
      <c r="G18" s="458">
        <f>F18/E18</f>
        <v>30147800</v>
      </c>
      <c r="H18" s="280"/>
    </row>
    <row r="19" spans="1:8" s="274" customFormat="1" ht="14.1" customHeight="1">
      <c r="A19" s="1176"/>
      <c r="B19" s="1164"/>
      <c r="C19" s="1179" t="s">
        <v>1273</v>
      </c>
      <c r="D19" s="691" t="s">
        <v>1274</v>
      </c>
      <c r="E19" s="691">
        <v>5</v>
      </c>
      <c r="F19" s="455">
        <v>150739000</v>
      </c>
      <c r="G19" s="458">
        <f aca="true" t="shared" si="0" ref="G19:G31">F19/E19</f>
        <v>30147800</v>
      </c>
      <c r="H19" s="282"/>
    </row>
    <row r="20" spans="1:8" s="274" customFormat="1" ht="14.1" customHeight="1">
      <c r="A20" s="1176"/>
      <c r="B20" s="1164"/>
      <c r="C20" s="1179"/>
      <c r="D20" s="691" t="s">
        <v>1275</v>
      </c>
      <c r="E20" s="691">
        <v>2</v>
      </c>
      <c r="F20" s="455">
        <v>7400000</v>
      </c>
      <c r="G20" s="458">
        <f t="shared" si="0"/>
        <v>3700000</v>
      </c>
      <c r="H20" s="282"/>
    </row>
    <row r="21" spans="1:8" s="274" customFormat="1" ht="14.1" customHeight="1">
      <c r="A21" s="1176"/>
      <c r="B21" s="1164"/>
      <c r="C21" s="1179"/>
      <c r="D21" s="691" t="s">
        <v>1276</v>
      </c>
      <c r="E21" s="691">
        <v>1</v>
      </c>
      <c r="F21" s="455">
        <v>880000</v>
      </c>
      <c r="G21" s="458">
        <f t="shared" si="0"/>
        <v>880000</v>
      </c>
      <c r="H21" s="282" t="s">
        <v>1277</v>
      </c>
    </row>
    <row r="22" spans="1:8" s="274" customFormat="1" ht="14.1" customHeight="1">
      <c r="A22" s="1176"/>
      <c r="B22" s="1164"/>
      <c r="C22" s="1179"/>
      <c r="D22" s="691" t="s">
        <v>1278</v>
      </c>
      <c r="E22" s="691"/>
      <c r="F22" s="455"/>
      <c r="G22" s="458"/>
      <c r="H22" s="282"/>
    </row>
    <row r="23" spans="1:8" s="274" customFormat="1" ht="14.1" customHeight="1">
      <c r="A23" s="1176"/>
      <c r="B23" s="1164"/>
      <c r="C23" s="1179"/>
      <c r="D23" s="691" t="s">
        <v>939</v>
      </c>
      <c r="E23" s="691"/>
      <c r="F23" s="455"/>
      <c r="G23" s="458"/>
      <c r="H23" s="282"/>
    </row>
    <row r="24" spans="1:8" s="274" customFormat="1" ht="14.1" customHeight="1">
      <c r="A24" s="1176"/>
      <c r="B24" s="1164"/>
      <c r="C24" s="1169" t="s">
        <v>1279</v>
      </c>
      <c r="D24" s="691" t="s">
        <v>1280</v>
      </c>
      <c r="E24" s="691">
        <v>4</v>
      </c>
      <c r="F24" s="455">
        <v>17470000</v>
      </c>
      <c r="G24" s="458">
        <f t="shared" si="0"/>
        <v>4367500</v>
      </c>
      <c r="H24" s="282"/>
    </row>
    <row r="25" spans="1:8" s="274" customFormat="1" ht="14.1" customHeight="1">
      <c r="A25" s="1176"/>
      <c r="B25" s="1164"/>
      <c r="C25" s="1165"/>
      <c r="D25" s="691" t="s">
        <v>1281</v>
      </c>
      <c r="E25" s="691">
        <v>4</v>
      </c>
      <c r="F25" s="455">
        <v>10040000</v>
      </c>
      <c r="G25" s="458">
        <f t="shared" si="0"/>
        <v>2510000</v>
      </c>
      <c r="H25" s="282"/>
    </row>
    <row r="26" spans="1:8" s="274" customFormat="1" ht="14.1" customHeight="1">
      <c r="A26" s="1176"/>
      <c r="B26" s="1164"/>
      <c r="C26" s="691" t="s">
        <v>1282</v>
      </c>
      <c r="D26" s="691" t="s">
        <v>1283</v>
      </c>
      <c r="E26" s="691">
        <v>7</v>
      </c>
      <c r="F26" s="455">
        <v>8400000</v>
      </c>
      <c r="G26" s="458">
        <f t="shared" si="0"/>
        <v>1200000</v>
      </c>
      <c r="H26" s="282"/>
    </row>
    <row r="27" spans="1:8" s="274" customFormat="1" ht="14.1" customHeight="1">
      <c r="A27" s="1176"/>
      <c r="B27" s="1165"/>
      <c r="C27" s="1167" t="s">
        <v>1284</v>
      </c>
      <c r="D27" s="1166"/>
      <c r="E27" s="691">
        <v>5</v>
      </c>
      <c r="F27" s="455">
        <v>28100000</v>
      </c>
      <c r="G27" s="458">
        <f t="shared" si="0"/>
        <v>5620000</v>
      </c>
      <c r="H27" s="282"/>
    </row>
    <row r="28" spans="1:8" s="274" customFormat="1" ht="14.1" customHeight="1">
      <c r="A28" s="1176"/>
      <c r="B28" s="1179" t="s">
        <v>1285</v>
      </c>
      <c r="C28" s="1179"/>
      <c r="D28" s="1179"/>
      <c r="E28" s="691"/>
      <c r="F28" s="455">
        <f>SUM(F18:F27)</f>
        <v>373768000</v>
      </c>
      <c r="G28" s="458"/>
      <c r="H28" s="282"/>
    </row>
    <row r="29" spans="1:8" s="274" customFormat="1" ht="14.1" customHeight="1">
      <c r="A29" s="1176"/>
      <c r="B29" s="1169" t="s">
        <v>771</v>
      </c>
      <c r="C29" s="688" t="s">
        <v>1286</v>
      </c>
      <c r="D29" s="688"/>
      <c r="E29" s="688">
        <v>2</v>
      </c>
      <c r="F29" s="456">
        <v>36000000</v>
      </c>
      <c r="G29" s="458">
        <f t="shared" si="0"/>
        <v>18000000</v>
      </c>
      <c r="H29" s="437" t="s">
        <v>1287</v>
      </c>
    </row>
    <row r="30" spans="1:8" s="274" customFormat="1" ht="14.1" customHeight="1">
      <c r="A30" s="1176"/>
      <c r="B30" s="1164"/>
      <c r="C30" s="688" t="s">
        <v>1288</v>
      </c>
      <c r="D30" s="688"/>
      <c r="E30" s="688">
        <v>2</v>
      </c>
      <c r="F30" s="456">
        <v>6000000</v>
      </c>
      <c r="G30" s="458">
        <f t="shared" si="0"/>
        <v>3000000</v>
      </c>
      <c r="H30" s="437" t="s">
        <v>1287</v>
      </c>
    </row>
    <row r="31" spans="1:8" s="274" customFormat="1" ht="14.1" customHeight="1">
      <c r="A31" s="1176"/>
      <c r="B31" s="1165"/>
      <c r="C31" s="688" t="s">
        <v>1289</v>
      </c>
      <c r="D31" s="688"/>
      <c r="E31" s="688">
        <v>2</v>
      </c>
      <c r="F31" s="456">
        <v>5140000</v>
      </c>
      <c r="G31" s="458">
        <f t="shared" si="0"/>
        <v>2570000</v>
      </c>
      <c r="H31" s="437"/>
    </row>
    <row r="32" spans="1:8" s="274" customFormat="1" ht="13.5">
      <c r="A32" s="1195"/>
      <c r="B32" s="1167" t="s">
        <v>1290</v>
      </c>
      <c r="C32" s="1170"/>
      <c r="D32" s="1166"/>
      <c r="E32" s="688"/>
      <c r="F32" s="456">
        <f>SUM(F29:F31)</f>
        <v>47140000</v>
      </c>
      <c r="G32" s="456"/>
      <c r="H32" s="437"/>
    </row>
    <row r="33" spans="1:8" s="275" customFormat="1" ht="14.25">
      <c r="A33" s="1161" t="s">
        <v>1291</v>
      </c>
      <c r="B33" s="1162"/>
      <c r="C33" s="1162"/>
      <c r="D33" s="1162"/>
      <c r="E33" s="285"/>
      <c r="F33" s="505">
        <f>F28+F32</f>
        <v>420908000</v>
      </c>
      <c r="G33" s="459"/>
      <c r="H33" s="286"/>
    </row>
  </sheetData>
  <mergeCells count="20">
    <mergeCell ref="C27:D27"/>
    <mergeCell ref="B28:D28"/>
    <mergeCell ref="B29:B31"/>
    <mergeCell ref="B32:D32"/>
    <mergeCell ref="A33:D33"/>
    <mergeCell ref="A1:H1"/>
    <mergeCell ref="C3:D3"/>
    <mergeCell ref="A4:B13"/>
    <mergeCell ref="C11:D11"/>
    <mergeCell ref="C12:D12"/>
    <mergeCell ref="C13:D13"/>
    <mergeCell ref="C19:C23"/>
    <mergeCell ref="A18:A32"/>
    <mergeCell ref="B18:B27"/>
    <mergeCell ref="C24:C25"/>
    <mergeCell ref="A14:A16"/>
    <mergeCell ref="C14:D14"/>
    <mergeCell ref="C15:D15"/>
    <mergeCell ref="B16:D16"/>
    <mergeCell ref="A17:D17"/>
  </mergeCells>
  <printOptions/>
  <pageMargins left="0.7086614173228347" right="0.7086614173228347" top="0.6692913385826772" bottom="0.5511811023622047" header="0.31496062992125984" footer="0.31496062992125984"/>
  <pageSetup horizontalDpi="600" verticalDpi="600" orientation="landscape" paperSize="9" r:id="rId1"/>
  <headerFooter>
    <oddHeader>&amp;L&amp;"새굴림,보통"&amp;9&lt;별지제2호서식&gt;&amp;R
</oddHead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8">
      <selection activeCell="D59" sqref="D59"/>
    </sheetView>
  </sheetViews>
  <sheetFormatPr defaultColWidth="9.25390625" defaultRowHeight="27" customHeight="1"/>
  <cols>
    <col min="1" max="1" width="19.50390625" style="69" customWidth="1"/>
    <col min="2" max="2" width="17.75390625" style="10" customWidth="1"/>
    <col min="3" max="3" width="19.00390625" style="10" customWidth="1"/>
    <col min="4" max="4" width="21.25390625" style="10" customWidth="1"/>
    <col min="5" max="5" width="45.25390625" style="10" customWidth="1"/>
    <col min="6" max="256" width="9.25390625" style="10" customWidth="1"/>
    <col min="257" max="257" width="19.50390625" style="10" customWidth="1"/>
    <col min="258" max="258" width="17.75390625" style="10" customWidth="1"/>
    <col min="259" max="259" width="19.00390625" style="10" customWidth="1"/>
    <col min="260" max="260" width="21.25390625" style="10" customWidth="1"/>
    <col min="261" max="261" width="45.25390625" style="10" customWidth="1"/>
    <col min="262" max="512" width="9.25390625" style="10" customWidth="1"/>
    <col min="513" max="513" width="19.50390625" style="10" customWidth="1"/>
    <col min="514" max="514" width="17.75390625" style="10" customWidth="1"/>
    <col min="515" max="515" width="19.00390625" style="10" customWidth="1"/>
    <col min="516" max="516" width="21.25390625" style="10" customWidth="1"/>
    <col min="517" max="517" width="45.25390625" style="10" customWidth="1"/>
    <col min="518" max="768" width="9.25390625" style="10" customWidth="1"/>
    <col min="769" max="769" width="19.50390625" style="10" customWidth="1"/>
    <col min="770" max="770" width="17.75390625" style="10" customWidth="1"/>
    <col min="771" max="771" width="19.00390625" style="10" customWidth="1"/>
    <col min="772" max="772" width="21.25390625" style="10" customWidth="1"/>
    <col min="773" max="773" width="45.25390625" style="10" customWidth="1"/>
    <col min="774" max="1024" width="9.25390625" style="10" customWidth="1"/>
    <col min="1025" max="1025" width="19.50390625" style="10" customWidth="1"/>
    <col min="1026" max="1026" width="17.75390625" style="10" customWidth="1"/>
    <col min="1027" max="1027" width="19.00390625" style="10" customWidth="1"/>
    <col min="1028" max="1028" width="21.25390625" style="10" customWidth="1"/>
    <col min="1029" max="1029" width="45.25390625" style="10" customWidth="1"/>
    <col min="1030" max="1280" width="9.25390625" style="10" customWidth="1"/>
    <col min="1281" max="1281" width="19.50390625" style="10" customWidth="1"/>
    <col min="1282" max="1282" width="17.75390625" style="10" customWidth="1"/>
    <col min="1283" max="1283" width="19.00390625" style="10" customWidth="1"/>
    <col min="1284" max="1284" width="21.25390625" style="10" customWidth="1"/>
    <col min="1285" max="1285" width="45.25390625" style="10" customWidth="1"/>
    <col min="1286" max="1536" width="9.25390625" style="10" customWidth="1"/>
    <col min="1537" max="1537" width="19.50390625" style="10" customWidth="1"/>
    <col min="1538" max="1538" width="17.75390625" style="10" customWidth="1"/>
    <col min="1539" max="1539" width="19.00390625" style="10" customWidth="1"/>
    <col min="1540" max="1540" width="21.25390625" style="10" customWidth="1"/>
    <col min="1541" max="1541" width="45.25390625" style="10" customWidth="1"/>
    <col min="1542" max="1792" width="9.25390625" style="10" customWidth="1"/>
    <col min="1793" max="1793" width="19.50390625" style="10" customWidth="1"/>
    <col min="1794" max="1794" width="17.75390625" style="10" customWidth="1"/>
    <col min="1795" max="1795" width="19.00390625" style="10" customWidth="1"/>
    <col min="1796" max="1796" width="21.25390625" style="10" customWidth="1"/>
    <col min="1797" max="1797" width="45.25390625" style="10" customWidth="1"/>
    <col min="1798" max="2048" width="9.25390625" style="10" customWidth="1"/>
    <col min="2049" max="2049" width="19.50390625" style="10" customWidth="1"/>
    <col min="2050" max="2050" width="17.75390625" style="10" customWidth="1"/>
    <col min="2051" max="2051" width="19.00390625" style="10" customWidth="1"/>
    <col min="2052" max="2052" width="21.25390625" style="10" customWidth="1"/>
    <col min="2053" max="2053" width="45.25390625" style="10" customWidth="1"/>
    <col min="2054" max="2304" width="9.25390625" style="10" customWidth="1"/>
    <col min="2305" max="2305" width="19.50390625" style="10" customWidth="1"/>
    <col min="2306" max="2306" width="17.75390625" style="10" customWidth="1"/>
    <col min="2307" max="2307" width="19.00390625" style="10" customWidth="1"/>
    <col min="2308" max="2308" width="21.25390625" style="10" customWidth="1"/>
    <col min="2309" max="2309" width="45.25390625" style="10" customWidth="1"/>
    <col min="2310" max="2560" width="9.25390625" style="10" customWidth="1"/>
    <col min="2561" max="2561" width="19.50390625" style="10" customWidth="1"/>
    <col min="2562" max="2562" width="17.75390625" style="10" customWidth="1"/>
    <col min="2563" max="2563" width="19.00390625" style="10" customWidth="1"/>
    <col min="2564" max="2564" width="21.25390625" style="10" customWidth="1"/>
    <col min="2565" max="2565" width="45.25390625" style="10" customWidth="1"/>
    <col min="2566" max="2816" width="9.25390625" style="10" customWidth="1"/>
    <col min="2817" max="2817" width="19.50390625" style="10" customWidth="1"/>
    <col min="2818" max="2818" width="17.75390625" style="10" customWidth="1"/>
    <col min="2819" max="2819" width="19.00390625" style="10" customWidth="1"/>
    <col min="2820" max="2820" width="21.25390625" style="10" customWidth="1"/>
    <col min="2821" max="2821" width="45.25390625" style="10" customWidth="1"/>
    <col min="2822" max="3072" width="9.25390625" style="10" customWidth="1"/>
    <col min="3073" max="3073" width="19.50390625" style="10" customWidth="1"/>
    <col min="3074" max="3074" width="17.75390625" style="10" customWidth="1"/>
    <col min="3075" max="3075" width="19.00390625" style="10" customWidth="1"/>
    <col min="3076" max="3076" width="21.25390625" style="10" customWidth="1"/>
    <col min="3077" max="3077" width="45.25390625" style="10" customWidth="1"/>
    <col min="3078" max="3328" width="9.25390625" style="10" customWidth="1"/>
    <col min="3329" max="3329" width="19.50390625" style="10" customWidth="1"/>
    <col min="3330" max="3330" width="17.75390625" style="10" customWidth="1"/>
    <col min="3331" max="3331" width="19.00390625" style="10" customWidth="1"/>
    <col min="3332" max="3332" width="21.25390625" style="10" customWidth="1"/>
    <col min="3333" max="3333" width="45.25390625" style="10" customWidth="1"/>
    <col min="3334" max="3584" width="9.25390625" style="10" customWidth="1"/>
    <col min="3585" max="3585" width="19.50390625" style="10" customWidth="1"/>
    <col min="3586" max="3586" width="17.75390625" style="10" customWidth="1"/>
    <col min="3587" max="3587" width="19.00390625" style="10" customWidth="1"/>
    <col min="3588" max="3588" width="21.25390625" style="10" customWidth="1"/>
    <col min="3589" max="3589" width="45.25390625" style="10" customWidth="1"/>
    <col min="3590" max="3840" width="9.25390625" style="10" customWidth="1"/>
    <col min="3841" max="3841" width="19.50390625" style="10" customWidth="1"/>
    <col min="3842" max="3842" width="17.75390625" style="10" customWidth="1"/>
    <col min="3843" max="3843" width="19.00390625" style="10" customWidth="1"/>
    <col min="3844" max="3844" width="21.25390625" style="10" customWidth="1"/>
    <col min="3845" max="3845" width="45.25390625" style="10" customWidth="1"/>
    <col min="3846" max="4096" width="9.25390625" style="10" customWidth="1"/>
    <col min="4097" max="4097" width="19.50390625" style="10" customWidth="1"/>
    <col min="4098" max="4098" width="17.75390625" style="10" customWidth="1"/>
    <col min="4099" max="4099" width="19.00390625" style="10" customWidth="1"/>
    <col min="4100" max="4100" width="21.25390625" style="10" customWidth="1"/>
    <col min="4101" max="4101" width="45.25390625" style="10" customWidth="1"/>
    <col min="4102" max="4352" width="9.25390625" style="10" customWidth="1"/>
    <col min="4353" max="4353" width="19.50390625" style="10" customWidth="1"/>
    <col min="4354" max="4354" width="17.75390625" style="10" customWidth="1"/>
    <col min="4355" max="4355" width="19.00390625" style="10" customWidth="1"/>
    <col min="4356" max="4356" width="21.25390625" style="10" customWidth="1"/>
    <col min="4357" max="4357" width="45.25390625" style="10" customWidth="1"/>
    <col min="4358" max="4608" width="9.25390625" style="10" customWidth="1"/>
    <col min="4609" max="4609" width="19.50390625" style="10" customWidth="1"/>
    <col min="4610" max="4610" width="17.75390625" style="10" customWidth="1"/>
    <col min="4611" max="4611" width="19.00390625" style="10" customWidth="1"/>
    <col min="4612" max="4612" width="21.25390625" style="10" customWidth="1"/>
    <col min="4613" max="4613" width="45.25390625" style="10" customWidth="1"/>
    <col min="4614" max="4864" width="9.25390625" style="10" customWidth="1"/>
    <col min="4865" max="4865" width="19.50390625" style="10" customWidth="1"/>
    <col min="4866" max="4866" width="17.75390625" style="10" customWidth="1"/>
    <col min="4867" max="4867" width="19.00390625" style="10" customWidth="1"/>
    <col min="4868" max="4868" width="21.25390625" style="10" customWidth="1"/>
    <col min="4869" max="4869" width="45.25390625" style="10" customWidth="1"/>
    <col min="4870" max="5120" width="9.25390625" style="10" customWidth="1"/>
    <col min="5121" max="5121" width="19.50390625" style="10" customWidth="1"/>
    <col min="5122" max="5122" width="17.75390625" style="10" customWidth="1"/>
    <col min="5123" max="5123" width="19.00390625" style="10" customWidth="1"/>
    <col min="5124" max="5124" width="21.25390625" style="10" customWidth="1"/>
    <col min="5125" max="5125" width="45.25390625" style="10" customWidth="1"/>
    <col min="5126" max="5376" width="9.25390625" style="10" customWidth="1"/>
    <col min="5377" max="5377" width="19.50390625" style="10" customWidth="1"/>
    <col min="5378" max="5378" width="17.75390625" style="10" customWidth="1"/>
    <col min="5379" max="5379" width="19.00390625" style="10" customWidth="1"/>
    <col min="5380" max="5380" width="21.25390625" style="10" customWidth="1"/>
    <col min="5381" max="5381" width="45.25390625" style="10" customWidth="1"/>
    <col min="5382" max="5632" width="9.25390625" style="10" customWidth="1"/>
    <col min="5633" max="5633" width="19.50390625" style="10" customWidth="1"/>
    <col min="5634" max="5634" width="17.75390625" style="10" customWidth="1"/>
    <col min="5635" max="5635" width="19.00390625" style="10" customWidth="1"/>
    <col min="5636" max="5636" width="21.25390625" style="10" customWidth="1"/>
    <col min="5637" max="5637" width="45.25390625" style="10" customWidth="1"/>
    <col min="5638" max="5888" width="9.25390625" style="10" customWidth="1"/>
    <col min="5889" max="5889" width="19.50390625" style="10" customWidth="1"/>
    <col min="5890" max="5890" width="17.75390625" style="10" customWidth="1"/>
    <col min="5891" max="5891" width="19.00390625" style="10" customWidth="1"/>
    <col min="5892" max="5892" width="21.25390625" style="10" customWidth="1"/>
    <col min="5893" max="5893" width="45.25390625" style="10" customWidth="1"/>
    <col min="5894" max="6144" width="9.25390625" style="10" customWidth="1"/>
    <col min="6145" max="6145" width="19.50390625" style="10" customWidth="1"/>
    <col min="6146" max="6146" width="17.75390625" style="10" customWidth="1"/>
    <col min="6147" max="6147" width="19.00390625" style="10" customWidth="1"/>
    <col min="6148" max="6148" width="21.25390625" style="10" customWidth="1"/>
    <col min="6149" max="6149" width="45.25390625" style="10" customWidth="1"/>
    <col min="6150" max="6400" width="9.25390625" style="10" customWidth="1"/>
    <col min="6401" max="6401" width="19.50390625" style="10" customWidth="1"/>
    <col min="6402" max="6402" width="17.75390625" style="10" customWidth="1"/>
    <col min="6403" max="6403" width="19.00390625" style="10" customWidth="1"/>
    <col min="6404" max="6404" width="21.25390625" style="10" customWidth="1"/>
    <col min="6405" max="6405" width="45.25390625" style="10" customWidth="1"/>
    <col min="6406" max="6656" width="9.25390625" style="10" customWidth="1"/>
    <col min="6657" max="6657" width="19.50390625" style="10" customWidth="1"/>
    <col min="6658" max="6658" width="17.75390625" style="10" customWidth="1"/>
    <col min="6659" max="6659" width="19.00390625" style="10" customWidth="1"/>
    <col min="6660" max="6660" width="21.25390625" style="10" customWidth="1"/>
    <col min="6661" max="6661" width="45.25390625" style="10" customWidth="1"/>
    <col min="6662" max="6912" width="9.25390625" style="10" customWidth="1"/>
    <col min="6913" max="6913" width="19.50390625" style="10" customWidth="1"/>
    <col min="6914" max="6914" width="17.75390625" style="10" customWidth="1"/>
    <col min="6915" max="6915" width="19.00390625" style="10" customWidth="1"/>
    <col min="6916" max="6916" width="21.25390625" style="10" customWidth="1"/>
    <col min="6917" max="6917" width="45.25390625" style="10" customWidth="1"/>
    <col min="6918" max="7168" width="9.25390625" style="10" customWidth="1"/>
    <col min="7169" max="7169" width="19.50390625" style="10" customWidth="1"/>
    <col min="7170" max="7170" width="17.75390625" style="10" customWidth="1"/>
    <col min="7171" max="7171" width="19.00390625" style="10" customWidth="1"/>
    <col min="7172" max="7172" width="21.25390625" style="10" customWidth="1"/>
    <col min="7173" max="7173" width="45.25390625" style="10" customWidth="1"/>
    <col min="7174" max="7424" width="9.25390625" style="10" customWidth="1"/>
    <col min="7425" max="7425" width="19.50390625" style="10" customWidth="1"/>
    <col min="7426" max="7426" width="17.75390625" style="10" customWidth="1"/>
    <col min="7427" max="7427" width="19.00390625" style="10" customWidth="1"/>
    <col min="7428" max="7428" width="21.25390625" style="10" customWidth="1"/>
    <col min="7429" max="7429" width="45.25390625" style="10" customWidth="1"/>
    <col min="7430" max="7680" width="9.25390625" style="10" customWidth="1"/>
    <col min="7681" max="7681" width="19.50390625" style="10" customWidth="1"/>
    <col min="7682" max="7682" width="17.75390625" style="10" customWidth="1"/>
    <col min="7683" max="7683" width="19.00390625" style="10" customWidth="1"/>
    <col min="7684" max="7684" width="21.25390625" style="10" customWidth="1"/>
    <col min="7685" max="7685" width="45.25390625" style="10" customWidth="1"/>
    <col min="7686" max="7936" width="9.25390625" style="10" customWidth="1"/>
    <col min="7937" max="7937" width="19.50390625" style="10" customWidth="1"/>
    <col min="7938" max="7938" width="17.75390625" style="10" customWidth="1"/>
    <col min="7939" max="7939" width="19.00390625" style="10" customWidth="1"/>
    <col min="7940" max="7940" width="21.25390625" style="10" customWidth="1"/>
    <col min="7941" max="7941" width="45.25390625" style="10" customWidth="1"/>
    <col min="7942" max="8192" width="9.25390625" style="10" customWidth="1"/>
    <col min="8193" max="8193" width="19.50390625" style="10" customWidth="1"/>
    <col min="8194" max="8194" width="17.75390625" style="10" customWidth="1"/>
    <col min="8195" max="8195" width="19.00390625" style="10" customWidth="1"/>
    <col min="8196" max="8196" width="21.25390625" style="10" customWidth="1"/>
    <col min="8197" max="8197" width="45.25390625" style="10" customWidth="1"/>
    <col min="8198" max="8448" width="9.25390625" style="10" customWidth="1"/>
    <col min="8449" max="8449" width="19.50390625" style="10" customWidth="1"/>
    <col min="8450" max="8450" width="17.75390625" style="10" customWidth="1"/>
    <col min="8451" max="8451" width="19.00390625" style="10" customWidth="1"/>
    <col min="8452" max="8452" width="21.25390625" style="10" customWidth="1"/>
    <col min="8453" max="8453" width="45.25390625" style="10" customWidth="1"/>
    <col min="8454" max="8704" width="9.25390625" style="10" customWidth="1"/>
    <col min="8705" max="8705" width="19.50390625" style="10" customWidth="1"/>
    <col min="8706" max="8706" width="17.75390625" style="10" customWidth="1"/>
    <col min="8707" max="8707" width="19.00390625" style="10" customWidth="1"/>
    <col min="8708" max="8708" width="21.25390625" style="10" customWidth="1"/>
    <col min="8709" max="8709" width="45.25390625" style="10" customWidth="1"/>
    <col min="8710" max="8960" width="9.25390625" style="10" customWidth="1"/>
    <col min="8961" max="8961" width="19.50390625" style="10" customWidth="1"/>
    <col min="8962" max="8962" width="17.75390625" style="10" customWidth="1"/>
    <col min="8963" max="8963" width="19.00390625" style="10" customWidth="1"/>
    <col min="8964" max="8964" width="21.25390625" style="10" customWidth="1"/>
    <col min="8965" max="8965" width="45.25390625" style="10" customWidth="1"/>
    <col min="8966" max="9216" width="9.25390625" style="10" customWidth="1"/>
    <col min="9217" max="9217" width="19.50390625" style="10" customWidth="1"/>
    <col min="9218" max="9218" width="17.75390625" style="10" customWidth="1"/>
    <col min="9219" max="9219" width="19.00390625" style="10" customWidth="1"/>
    <col min="9220" max="9220" width="21.25390625" style="10" customWidth="1"/>
    <col min="9221" max="9221" width="45.25390625" style="10" customWidth="1"/>
    <col min="9222" max="9472" width="9.25390625" style="10" customWidth="1"/>
    <col min="9473" max="9473" width="19.50390625" style="10" customWidth="1"/>
    <col min="9474" max="9474" width="17.75390625" style="10" customWidth="1"/>
    <col min="9475" max="9475" width="19.00390625" style="10" customWidth="1"/>
    <col min="9476" max="9476" width="21.25390625" style="10" customWidth="1"/>
    <col min="9477" max="9477" width="45.25390625" style="10" customWidth="1"/>
    <col min="9478" max="9728" width="9.25390625" style="10" customWidth="1"/>
    <col min="9729" max="9729" width="19.50390625" style="10" customWidth="1"/>
    <col min="9730" max="9730" width="17.75390625" style="10" customWidth="1"/>
    <col min="9731" max="9731" width="19.00390625" style="10" customWidth="1"/>
    <col min="9732" max="9732" width="21.25390625" style="10" customWidth="1"/>
    <col min="9733" max="9733" width="45.25390625" style="10" customWidth="1"/>
    <col min="9734" max="9984" width="9.25390625" style="10" customWidth="1"/>
    <col min="9985" max="9985" width="19.50390625" style="10" customWidth="1"/>
    <col min="9986" max="9986" width="17.75390625" style="10" customWidth="1"/>
    <col min="9987" max="9987" width="19.00390625" style="10" customWidth="1"/>
    <col min="9988" max="9988" width="21.25390625" style="10" customWidth="1"/>
    <col min="9989" max="9989" width="45.25390625" style="10" customWidth="1"/>
    <col min="9990" max="10240" width="9.25390625" style="10" customWidth="1"/>
    <col min="10241" max="10241" width="19.50390625" style="10" customWidth="1"/>
    <col min="10242" max="10242" width="17.75390625" style="10" customWidth="1"/>
    <col min="10243" max="10243" width="19.00390625" style="10" customWidth="1"/>
    <col min="10244" max="10244" width="21.25390625" style="10" customWidth="1"/>
    <col min="10245" max="10245" width="45.25390625" style="10" customWidth="1"/>
    <col min="10246" max="10496" width="9.25390625" style="10" customWidth="1"/>
    <col min="10497" max="10497" width="19.50390625" style="10" customWidth="1"/>
    <col min="10498" max="10498" width="17.75390625" style="10" customWidth="1"/>
    <col min="10499" max="10499" width="19.00390625" style="10" customWidth="1"/>
    <col min="10500" max="10500" width="21.25390625" style="10" customWidth="1"/>
    <col min="10501" max="10501" width="45.25390625" style="10" customWidth="1"/>
    <col min="10502" max="10752" width="9.25390625" style="10" customWidth="1"/>
    <col min="10753" max="10753" width="19.50390625" style="10" customWidth="1"/>
    <col min="10754" max="10754" width="17.75390625" style="10" customWidth="1"/>
    <col min="10755" max="10755" width="19.00390625" style="10" customWidth="1"/>
    <col min="10756" max="10756" width="21.25390625" style="10" customWidth="1"/>
    <col min="10757" max="10757" width="45.25390625" style="10" customWidth="1"/>
    <col min="10758" max="11008" width="9.25390625" style="10" customWidth="1"/>
    <col min="11009" max="11009" width="19.50390625" style="10" customWidth="1"/>
    <col min="11010" max="11010" width="17.75390625" style="10" customWidth="1"/>
    <col min="11011" max="11011" width="19.00390625" style="10" customWidth="1"/>
    <col min="11012" max="11012" width="21.25390625" style="10" customWidth="1"/>
    <col min="11013" max="11013" width="45.25390625" style="10" customWidth="1"/>
    <col min="11014" max="11264" width="9.25390625" style="10" customWidth="1"/>
    <col min="11265" max="11265" width="19.50390625" style="10" customWidth="1"/>
    <col min="11266" max="11266" width="17.75390625" style="10" customWidth="1"/>
    <col min="11267" max="11267" width="19.00390625" style="10" customWidth="1"/>
    <col min="11268" max="11268" width="21.25390625" style="10" customWidth="1"/>
    <col min="11269" max="11269" width="45.25390625" style="10" customWidth="1"/>
    <col min="11270" max="11520" width="9.25390625" style="10" customWidth="1"/>
    <col min="11521" max="11521" width="19.50390625" style="10" customWidth="1"/>
    <col min="11522" max="11522" width="17.75390625" style="10" customWidth="1"/>
    <col min="11523" max="11523" width="19.00390625" style="10" customWidth="1"/>
    <col min="11524" max="11524" width="21.25390625" style="10" customWidth="1"/>
    <col min="11525" max="11525" width="45.25390625" style="10" customWidth="1"/>
    <col min="11526" max="11776" width="9.25390625" style="10" customWidth="1"/>
    <col min="11777" max="11777" width="19.50390625" style="10" customWidth="1"/>
    <col min="11778" max="11778" width="17.75390625" style="10" customWidth="1"/>
    <col min="11779" max="11779" width="19.00390625" style="10" customWidth="1"/>
    <col min="11780" max="11780" width="21.25390625" style="10" customWidth="1"/>
    <col min="11781" max="11781" width="45.25390625" style="10" customWidth="1"/>
    <col min="11782" max="12032" width="9.25390625" style="10" customWidth="1"/>
    <col min="12033" max="12033" width="19.50390625" style="10" customWidth="1"/>
    <col min="12034" max="12034" width="17.75390625" style="10" customWidth="1"/>
    <col min="12035" max="12035" width="19.00390625" style="10" customWidth="1"/>
    <col min="12036" max="12036" width="21.25390625" style="10" customWidth="1"/>
    <col min="12037" max="12037" width="45.25390625" style="10" customWidth="1"/>
    <col min="12038" max="12288" width="9.25390625" style="10" customWidth="1"/>
    <col min="12289" max="12289" width="19.50390625" style="10" customWidth="1"/>
    <col min="12290" max="12290" width="17.75390625" style="10" customWidth="1"/>
    <col min="12291" max="12291" width="19.00390625" style="10" customWidth="1"/>
    <col min="12292" max="12292" width="21.25390625" style="10" customWidth="1"/>
    <col min="12293" max="12293" width="45.25390625" style="10" customWidth="1"/>
    <col min="12294" max="12544" width="9.25390625" style="10" customWidth="1"/>
    <col min="12545" max="12545" width="19.50390625" style="10" customWidth="1"/>
    <col min="12546" max="12546" width="17.75390625" style="10" customWidth="1"/>
    <col min="12547" max="12547" width="19.00390625" style="10" customWidth="1"/>
    <col min="12548" max="12548" width="21.25390625" style="10" customWidth="1"/>
    <col min="12549" max="12549" width="45.25390625" style="10" customWidth="1"/>
    <col min="12550" max="12800" width="9.25390625" style="10" customWidth="1"/>
    <col min="12801" max="12801" width="19.50390625" style="10" customWidth="1"/>
    <col min="12802" max="12802" width="17.75390625" style="10" customWidth="1"/>
    <col min="12803" max="12803" width="19.00390625" style="10" customWidth="1"/>
    <col min="12804" max="12804" width="21.25390625" style="10" customWidth="1"/>
    <col min="12805" max="12805" width="45.25390625" style="10" customWidth="1"/>
    <col min="12806" max="13056" width="9.25390625" style="10" customWidth="1"/>
    <col min="13057" max="13057" width="19.50390625" style="10" customWidth="1"/>
    <col min="13058" max="13058" width="17.75390625" style="10" customWidth="1"/>
    <col min="13059" max="13059" width="19.00390625" style="10" customWidth="1"/>
    <col min="13060" max="13060" width="21.25390625" style="10" customWidth="1"/>
    <col min="13061" max="13061" width="45.25390625" style="10" customWidth="1"/>
    <col min="13062" max="13312" width="9.25390625" style="10" customWidth="1"/>
    <col min="13313" max="13313" width="19.50390625" style="10" customWidth="1"/>
    <col min="13314" max="13314" width="17.75390625" style="10" customWidth="1"/>
    <col min="13315" max="13315" width="19.00390625" style="10" customWidth="1"/>
    <col min="13316" max="13316" width="21.25390625" style="10" customWidth="1"/>
    <col min="13317" max="13317" width="45.25390625" style="10" customWidth="1"/>
    <col min="13318" max="13568" width="9.25390625" style="10" customWidth="1"/>
    <col min="13569" max="13569" width="19.50390625" style="10" customWidth="1"/>
    <col min="13570" max="13570" width="17.75390625" style="10" customWidth="1"/>
    <col min="13571" max="13571" width="19.00390625" style="10" customWidth="1"/>
    <col min="13572" max="13572" width="21.25390625" style="10" customWidth="1"/>
    <col min="13573" max="13573" width="45.25390625" style="10" customWidth="1"/>
    <col min="13574" max="13824" width="9.25390625" style="10" customWidth="1"/>
    <col min="13825" max="13825" width="19.50390625" style="10" customWidth="1"/>
    <col min="13826" max="13826" width="17.75390625" style="10" customWidth="1"/>
    <col min="13827" max="13827" width="19.00390625" style="10" customWidth="1"/>
    <col min="13828" max="13828" width="21.25390625" style="10" customWidth="1"/>
    <col min="13829" max="13829" width="45.25390625" style="10" customWidth="1"/>
    <col min="13830" max="14080" width="9.25390625" style="10" customWidth="1"/>
    <col min="14081" max="14081" width="19.50390625" style="10" customWidth="1"/>
    <col min="14082" max="14082" width="17.75390625" style="10" customWidth="1"/>
    <col min="14083" max="14083" width="19.00390625" style="10" customWidth="1"/>
    <col min="14084" max="14084" width="21.25390625" style="10" customWidth="1"/>
    <col min="14085" max="14085" width="45.25390625" style="10" customWidth="1"/>
    <col min="14086" max="14336" width="9.25390625" style="10" customWidth="1"/>
    <col min="14337" max="14337" width="19.50390625" style="10" customWidth="1"/>
    <col min="14338" max="14338" width="17.75390625" style="10" customWidth="1"/>
    <col min="14339" max="14339" width="19.00390625" style="10" customWidth="1"/>
    <col min="14340" max="14340" width="21.25390625" style="10" customWidth="1"/>
    <col min="14341" max="14341" width="45.25390625" style="10" customWidth="1"/>
    <col min="14342" max="14592" width="9.25390625" style="10" customWidth="1"/>
    <col min="14593" max="14593" width="19.50390625" style="10" customWidth="1"/>
    <col min="14594" max="14594" width="17.75390625" style="10" customWidth="1"/>
    <col min="14595" max="14595" width="19.00390625" style="10" customWidth="1"/>
    <col min="14596" max="14596" width="21.25390625" style="10" customWidth="1"/>
    <col min="14597" max="14597" width="45.25390625" style="10" customWidth="1"/>
    <col min="14598" max="14848" width="9.25390625" style="10" customWidth="1"/>
    <col min="14849" max="14849" width="19.50390625" style="10" customWidth="1"/>
    <col min="14850" max="14850" width="17.75390625" style="10" customWidth="1"/>
    <col min="14851" max="14851" width="19.00390625" style="10" customWidth="1"/>
    <col min="14852" max="14852" width="21.25390625" style="10" customWidth="1"/>
    <col min="14853" max="14853" width="45.25390625" style="10" customWidth="1"/>
    <col min="14854" max="15104" width="9.25390625" style="10" customWidth="1"/>
    <col min="15105" max="15105" width="19.50390625" style="10" customWidth="1"/>
    <col min="15106" max="15106" width="17.75390625" style="10" customWidth="1"/>
    <col min="15107" max="15107" width="19.00390625" style="10" customWidth="1"/>
    <col min="15108" max="15108" width="21.25390625" style="10" customWidth="1"/>
    <col min="15109" max="15109" width="45.25390625" style="10" customWidth="1"/>
    <col min="15110" max="15360" width="9.25390625" style="10" customWidth="1"/>
    <col min="15361" max="15361" width="19.50390625" style="10" customWidth="1"/>
    <col min="15362" max="15362" width="17.75390625" style="10" customWidth="1"/>
    <col min="15363" max="15363" width="19.00390625" style="10" customWidth="1"/>
    <col min="15364" max="15364" width="21.25390625" style="10" customWidth="1"/>
    <col min="15365" max="15365" width="45.25390625" style="10" customWidth="1"/>
    <col min="15366" max="15616" width="9.25390625" style="10" customWidth="1"/>
    <col min="15617" max="15617" width="19.50390625" style="10" customWidth="1"/>
    <col min="15618" max="15618" width="17.75390625" style="10" customWidth="1"/>
    <col min="15619" max="15619" width="19.00390625" style="10" customWidth="1"/>
    <col min="15620" max="15620" width="21.25390625" style="10" customWidth="1"/>
    <col min="15621" max="15621" width="45.25390625" style="10" customWidth="1"/>
    <col min="15622" max="15872" width="9.25390625" style="10" customWidth="1"/>
    <col min="15873" max="15873" width="19.50390625" style="10" customWidth="1"/>
    <col min="15874" max="15874" width="17.75390625" style="10" customWidth="1"/>
    <col min="15875" max="15875" width="19.00390625" style="10" customWidth="1"/>
    <col min="15876" max="15876" width="21.25390625" style="10" customWidth="1"/>
    <col min="15877" max="15877" width="45.25390625" style="10" customWidth="1"/>
    <col min="15878" max="16128" width="9.25390625" style="10" customWidth="1"/>
    <col min="16129" max="16129" width="19.50390625" style="10" customWidth="1"/>
    <col min="16130" max="16130" width="17.75390625" style="10" customWidth="1"/>
    <col min="16131" max="16131" width="19.00390625" style="10" customWidth="1"/>
    <col min="16132" max="16132" width="21.25390625" style="10" customWidth="1"/>
    <col min="16133" max="16133" width="45.25390625" style="10" customWidth="1"/>
    <col min="16134" max="16384" width="9.25390625" style="10" customWidth="1"/>
  </cols>
  <sheetData>
    <row r="1" spans="1:5" s="9" customFormat="1" ht="30.75" customHeight="1">
      <c r="A1" s="993" t="s">
        <v>1292</v>
      </c>
      <c r="B1" s="994"/>
      <c r="C1" s="994"/>
      <c r="D1" s="994"/>
      <c r="E1" s="994"/>
    </row>
    <row r="2" spans="1:5" s="9" customFormat="1" ht="18" customHeight="1">
      <c r="A2" s="1029" t="s">
        <v>1170</v>
      </c>
      <c r="B2" s="1029"/>
      <c r="C2" s="1029"/>
      <c r="D2" s="1029"/>
      <c r="E2" s="1029"/>
    </row>
    <row r="3" spans="1:5" ht="27.75" customHeight="1">
      <c r="A3" s="1030" t="s">
        <v>1293</v>
      </c>
      <c r="B3" s="1031"/>
      <c r="C3" s="1031"/>
      <c r="D3" s="1031"/>
      <c r="E3" s="1032"/>
    </row>
    <row r="4" spans="1:5" s="7" customFormat="1" ht="21.75" customHeight="1">
      <c r="A4" s="1033" t="s">
        <v>1172</v>
      </c>
      <c r="B4" s="1033"/>
      <c r="C4" s="1033"/>
      <c r="D4" s="1034" t="s">
        <v>1294</v>
      </c>
      <c r="E4" s="1188" t="s">
        <v>1295</v>
      </c>
    </row>
    <row r="5" spans="1:5" s="8" customFormat="1" ht="17.25" customHeight="1">
      <c r="A5" s="683" t="s">
        <v>1176</v>
      </c>
      <c r="B5" s="683" t="s">
        <v>1177</v>
      </c>
      <c r="C5" s="683" t="s">
        <v>1178</v>
      </c>
      <c r="D5" s="1033"/>
      <c r="E5" s="1189"/>
    </row>
    <row r="6" spans="1:5" s="15" customFormat="1" ht="12" customHeight="1">
      <c r="A6" s="39">
        <v>5300</v>
      </c>
      <c r="B6" s="26"/>
      <c r="C6" s="37"/>
      <c r="D6" s="38"/>
      <c r="E6" s="45"/>
    </row>
    <row r="7" spans="1:5" s="15" customFormat="1" ht="12" customHeight="1">
      <c r="A7" s="526" t="s">
        <v>1296</v>
      </c>
      <c r="B7" s="204"/>
      <c r="C7" s="42"/>
      <c r="D7" s="19">
        <f>D9+D16</f>
        <v>2417760000</v>
      </c>
      <c r="E7" s="19"/>
    </row>
    <row r="8" spans="1:5" s="15" customFormat="1" ht="12" customHeight="1">
      <c r="A8" s="33"/>
      <c r="B8" s="26">
        <v>5320</v>
      </c>
      <c r="C8" s="40"/>
      <c r="D8" s="18"/>
      <c r="E8" s="50"/>
    </row>
    <row r="9" spans="1:5" s="15" customFormat="1" ht="12" customHeight="1">
      <c r="A9" s="52"/>
      <c r="B9" s="526" t="s">
        <v>1297</v>
      </c>
      <c r="C9" s="42"/>
      <c r="D9" s="19">
        <f>D11</f>
        <v>0</v>
      </c>
      <c r="E9" s="19"/>
    </row>
    <row r="10" spans="1:5" s="15" customFormat="1" ht="12" customHeight="1">
      <c r="A10" s="34"/>
      <c r="B10" s="682"/>
      <c r="C10" s="37">
        <v>5322</v>
      </c>
      <c r="D10" s="18"/>
      <c r="E10" s="41"/>
    </row>
    <row r="11" spans="1:5" s="15" customFormat="1" ht="12" customHeight="1">
      <c r="A11" s="34"/>
      <c r="B11" s="682"/>
      <c r="C11" s="46" t="s">
        <v>1161</v>
      </c>
      <c r="D11" s="36"/>
      <c r="E11" s="47"/>
    </row>
    <row r="12" spans="1:5" s="15" customFormat="1" ht="12" customHeight="1">
      <c r="A12" s="34"/>
      <c r="B12" s="682"/>
      <c r="C12" s="46"/>
      <c r="D12" s="36"/>
      <c r="E12" s="135"/>
    </row>
    <row r="13" spans="1:5" s="15" customFormat="1" ht="12" customHeight="1">
      <c r="A13" s="34"/>
      <c r="B13" s="26">
        <v>5330</v>
      </c>
      <c r="C13" s="40"/>
      <c r="D13" s="18"/>
      <c r="E13" s="41"/>
    </row>
    <row r="14" spans="1:5" s="15" customFormat="1" ht="12" customHeight="1">
      <c r="A14" s="34"/>
      <c r="B14" s="33" t="s">
        <v>1162</v>
      </c>
      <c r="C14" s="42"/>
      <c r="D14" s="19">
        <f>D16</f>
        <v>2417760000</v>
      </c>
      <c r="E14" s="19"/>
    </row>
    <row r="15" spans="1:5" s="15" customFormat="1" ht="12" customHeight="1">
      <c r="A15" s="34"/>
      <c r="B15" s="33"/>
      <c r="C15" s="53">
        <v>5339</v>
      </c>
      <c r="D15" s="18"/>
      <c r="E15" s="18"/>
    </row>
    <row r="16" spans="1:5" s="15" customFormat="1" ht="12" customHeight="1">
      <c r="A16" s="34"/>
      <c r="B16" s="33"/>
      <c r="C16" s="46" t="s">
        <v>1163</v>
      </c>
      <c r="D16" s="36">
        <v>2417760000</v>
      </c>
      <c r="E16" s="36"/>
    </row>
    <row r="17" spans="1:5" s="15" customFormat="1" ht="12" customHeight="1">
      <c r="A17" s="34"/>
      <c r="B17" s="33"/>
      <c r="C17" s="112"/>
      <c r="D17" s="162">
        <v>618000000</v>
      </c>
      <c r="E17" s="161" t="s">
        <v>1298</v>
      </c>
    </row>
    <row r="18" spans="1:5" s="15" customFormat="1" ht="12" customHeight="1">
      <c r="A18" s="34"/>
      <c r="B18" s="33"/>
      <c r="C18" s="112"/>
      <c r="D18" s="162">
        <v>36256000</v>
      </c>
      <c r="E18" s="161" t="s">
        <v>1299</v>
      </c>
    </row>
    <row r="19" spans="1:5" s="15" customFormat="1" ht="12" customHeight="1">
      <c r="A19" s="34"/>
      <c r="B19" s="33"/>
      <c r="C19" s="112"/>
      <c r="D19" s="162">
        <v>618000000</v>
      </c>
      <c r="E19" s="161" t="s">
        <v>1300</v>
      </c>
    </row>
    <row r="20" spans="1:5" s="15" customFormat="1" ht="12" customHeight="1">
      <c r="A20" s="34"/>
      <c r="B20" s="33"/>
      <c r="C20" s="112"/>
      <c r="D20" s="162">
        <v>41200000</v>
      </c>
      <c r="E20" s="161" t="s">
        <v>1301</v>
      </c>
    </row>
    <row r="21" spans="1:5" s="15" customFormat="1" ht="12" customHeight="1">
      <c r="A21" s="34"/>
      <c r="B21" s="33"/>
      <c r="C21" s="112"/>
      <c r="D21" s="162">
        <v>134930000</v>
      </c>
      <c r="E21" s="161" t="s">
        <v>1302</v>
      </c>
    </row>
    <row r="22" spans="1:5" s="15" customFormat="1" ht="12" customHeight="1">
      <c r="A22" s="34"/>
      <c r="B22" s="33"/>
      <c r="C22" s="112"/>
      <c r="D22" s="162">
        <v>131016000</v>
      </c>
      <c r="E22" s="161" t="s">
        <v>1303</v>
      </c>
    </row>
    <row r="23" spans="1:5" s="15" customFormat="1" ht="12" customHeight="1">
      <c r="A23" s="34"/>
      <c r="B23" s="33"/>
      <c r="C23" s="112"/>
      <c r="D23" s="162">
        <v>34830000</v>
      </c>
      <c r="E23" s="161" t="s">
        <v>1304</v>
      </c>
    </row>
    <row r="24" spans="1:5" s="15" customFormat="1" ht="12" customHeight="1">
      <c r="A24" s="34"/>
      <c r="B24" s="33"/>
      <c r="C24" s="112"/>
      <c r="D24" s="162">
        <v>156330000</v>
      </c>
      <c r="E24" s="161" t="s">
        <v>1305</v>
      </c>
    </row>
    <row r="25" spans="1:5" s="15" customFormat="1" ht="12" customHeight="1">
      <c r="A25" s="34"/>
      <c r="B25" s="33"/>
      <c r="C25" s="112"/>
      <c r="D25" s="162">
        <v>69450000</v>
      </c>
      <c r="E25" s="161" t="s">
        <v>1306</v>
      </c>
    </row>
    <row r="26" spans="1:5" s="15" customFormat="1" ht="12" customHeight="1">
      <c r="A26" s="34"/>
      <c r="B26" s="33"/>
      <c r="C26" s="112"/>
      <c r="D26" s="162">
        <v>25700000</v>
      </c>
      <c r="E26" s="161" t="s">
        <v>1307</v>
      </c>
    </row>
    <row r="27" spans="1:5" s="15" customFormat="1" ht="12" customHeight="1">
      <c r="A27" s="34"/>
      <c r="B27" s="33"/>
      <c r="C27" s="112"/>
      <c r="D27" s="162">
        <v>174080000</v>
      </c>
      <c r="E27" s="161" t="s">
        <v>1308</v>
      </c>
    </row>
    <row r="28" spans="1:5" s="15" customFormat="1" ht="12" customHeight="1">
      <c r="A28" s="34"/>
      <c r="B28" s="33"/>
      <c r="C28" s="112"/>
      <c r="D28" s="162">
        <v>12960000</v>
      </c>
      <c r="E28" s="161" t="s">
        <v>1309</v>
      </c>
    </row>
    <row r="29" spans="1:5" s="15" customFormat="1" ht="12" customHeight="1">
      <c r="A29" s="34"/>
      <c r="B29" s="33"/>
      <c r="C29" s="112"/>
      <c r="D29" s="162">
        <v>29440000</v>
      </c>
      <c r="E29" s="161" t="s">
        <v>1310</v>
      </c>
    </row>
    <row r="30" spans="1:5" s="15" customFormat="1" ht="12" customHeight="1">
      <c r="A30" s="34"/>
      <c r="B30" s="33"/>
      <c r="C30" s="112"/>
      <c r="D30" s="162">
        <v>174080000</v>
      </c>
      <c r="E30" s="161" t="s">
        <v>1311</v>
      </c>
    </row>
    <row r="31" spans="1:5" s="15" customFormat="1" ht="12" customHeight="1">
      <c r="A31" s="34"/>
      <c r="B31" s="33"/>
      <c r="C31" s="112"/>
      <c r="D31" s="162">
        <v>12960000</v>
      </c>
      <c r="E31" s="161" t="s">
        <v>1312</v>
      </c>
    </row>
    <row r="32" spans="1:5" s="15" customFormat="1" ht="12" customHeight="1">
      <c r="A32" s="34"/>
      <c r="B32" s="33"/>
      <c r="C32" s="112"/>
      <c r="D32" s="162">
        <v>29440000</v>
      </c>
      <c r="E32" s="161" t="s">
        <v>1313</v>
      </c>
    </row>
    <row r="33" spans="1:5" s="15" customFormat="1" ht="12" customHeight="1">
      <c r="A33" s="34"/>
      <c r="B33" s="33"/>
      <c r="C33" s="112"/>
      <c r="D33" s="162">
        <v>57600000</v>
      </c>
      <c r="E33" s="161" t="s">
        <v>1314</v>
      </c>
    </row>
    <row r="34" spans="1:5" s="15" customFormat="1" ht="12" customHeight="1">
      <c r="A34" s="34"/>
      <c r="B34" s="33"/>
      <c r="C34" s="112"/>
      <c r="D34" s="162">
        <v>57600000</v>
      </c>
      <c r="E34" s="161" t="s">
        <v>1315</v>
      </c>
    </row>
    <row r="35" spans="1:5" s="15" customFormat="1" ht="12" customHeight="1">
      <c r="A35" s="31"/>
      <c r="B35" s="30"/>
      <c r="C35" s="764"/>
      <c r="D35" s="847">
        <v>3888000</v>
      </c>
      <c r="E35" s="848" t="s">
        <v>1316</v>
      </c>
    </row>
    <row r="36" spans="1:5" s="15" customFormat="1" ht="12" customHeight="1">
      <c r="A36" s="727">
        <v>5400</v>
      </c>
      <c r="B36" s="747"/>
      <c r="C36" s="748"/>
      <c r="D36" s="769"/>
      <c r="E36" s="738"/>
    </row>
    <row r="37" spans="1:5" s="15" customFormat="1" ht="12" customHeight="1">
      <c r="A37" s="760" t="s">
        <v>1164</v>
      </c>
      <c r="B37" s="761"/>
      <c r="C37" s="771"/>
      <c r="D37" s="770">
        <f>D39+D44</f>
        <v>95000000</v>
      </c>
      <c r="E37" s="770"/>
    </row>
    <row r="38" spans="1:5" s="15" customFormat="1" ht="12" customHeight="1">
      <c r="A38" s="33"/>
      <c r="B38" s="26">
        <v>5410</v>
      </c>
      <c r="C38" s="40"/>
      <c r="D38" s="18"/>
      <c r="E38" s="18"/>
    </row>
    <row r="39" spans="1:5" s="15" customFormat="1" ht="12" customHeight="1">
      <c r="A39" s="34"/>
      <c r="B39" s="526" t="s">
        <v>1165</v>
      </c>
      <c r="C39" s="32"/>
      <c r="D39" s="19">
        <f>D41</f>
        <v>75000000</v>
      </c>
      <c r="E39" s="19"/>
    </row>
    <row r="40" spans="1:5" s="15" customFormat="1" ht="12" customHeight="1">
      <c r="A40" s="34"/>
      <c r="B40" s="33"/>
      <c r="C40" s="37">
        <v>5411</v>
      </c>
      <c r="D40" s="18"/>
      <c r="E40" s="18"/>
    </row>
    <row r="41" spans="1:5" s="15" customFormat="1" ht="12" customHeight="1">
      <c r="A41" s="34"/>
      <c r="B41" s="34"/>
      <c r="C41" s="46" t="s">
        <v>1166</v>
      </c>
      <c r="D41" s="36">
        <f>D42</f>
        <v>75000000</v>
      </c>
      <c r="E41" s="47"/>
    </row>
    <row r="42" spans="1:5" s="15" customFormat="1" ht="12" customHeight="1">
      <c r="A42" s="34"/>
      <c r="B42" s="31"/>
      <c r="C42" s="32"/>
      <c r="D42" s="19">
        <v>75000000</v>
      </c>
      <c r="E42" s="195" t="s">
        <v>1317</v>
      </c>
    </row>
    <row r="43" spans="1:5" s="15" customFormat="1" ht="12" customHeight="1">
      <c r="A43" s="34"/>
      <c r="B43" s="134">
        <v>5420</v>
      </c>
      <c r="C43" s="35"/>
      <c r="D43" s="101"/>
      <c r="E43" s="123"/>
    </row>
    <row r="44" spans="1:5" s="15" customFormat="1" ht="12" customHeight="1">
      <c r="A44" s="34"/>
      <c r="B44" s="46" t="s">
        <v>1167</v>
      </c>
      <c r="C44" s="32"/>
      <c r="D44" s="19">
        <f>D46</f>
        <v>20000000</v>
      </c>
      <c r="E44" s="19"/>
    </row>
    <row r="45" spans="1:5" s="15" customFormat="1" ht="12" customHeight="1">
      <c r="A45" s="34"/>
      <c r="B45" s="33"/>
      <c r="C45" s="35">
        <v>5421</v>
      </c>
      <c r="D45" s="36"/>
      <c r="E45" s="36"/>
    </row>
    <row r="46" spans="1:5" s="15" customFormat="1" ht="12" customHeight="1">
      <c r="A46" s="34"/>
      <c r="B46" s="33"/>
      <c r="C46" s="46" t="s">
        <v>1318</v>
      </c>
      <c r="D46" s="36">
        <v>20000000</v>
      </c>
      <c r="E46" s="36"/>
    </row>
    <row r="47" spans="1:5" s="15" customFormat="1" ht="12" customHeight="1">
      <c r="A47" s="34"/>
      <c r="B47" s="33"/>
      <c r="C47" s="46"/>
      <c r="D47" s="36">
        <v>20000000</v>
      </c>
      <c r="E47" s="36" t="s">
        <v>1319</v>
      </c>
    </row>
    <row r="48" spans="1:5" s="15" customFormat="1" ht="12" customHeight="1">
      <c r="A48" s="34"/>
      <c r="B48" s="33"/>
      <c r="C48" s="46"/>
      <c r="D48" s="36"/>
      <c r="E48" s="138"/>
    </row>
    <row r="49" spans="1:5" s="15" customFormat="1" ht="12" customHeight="1">
      <c r="A49" s="34"/>
      <c r="B49" s="33"/>
      <c r="C49" s="46"/>
      <c r="D49" s="36"/>
      <c r="E49" s="138"/>
    </row>
    <row r="50" spans="1:5" s="15" customFormat="1" ht="15" customHeight="1">
      <c r="A50" s="34"/>
      <c r="B50" s="33"/>
      <c r="C50" s="46"/>
      <c r="D50" s="36"/>
      <c r="E50" s="138"/>
    </row>
    <row r="51" spans="1:5" ht="15" customHeight="1">
      <c r="A51" s="60" t="s">
        <v>1320</v>
      </c>
      <c r="B51" s="140"/>
      <c r="C51" s="66"/>
      <c r="D51" s="67">
        <f>D53</f>
        <v>552835169</v>
      </c>
      <c r="E51" s="67"/>
    </row>
    <row r="52" spans="1:5" ht="15" customHeight="1">
      <c r="A52" s="33"/>
      <c r="B52" s="39">
        <v>1100</v>
      </c>
      <c r="C52" s="66"/>
      <c r="D52" s="67"/>
      <c r="E52" s="67"/>
    </row>
    <row r="53" spans="1:5" ht="15" customHeight="1">
      <c r="A53" s="33"/>
      <c r="B53" s="526" t="s">
        <v>1157</v>
      </c>
      <c r="C53" s="68"/>
      <c r="D53" s="19">
        <f>D55</f>
        <v>552835169</v>
      </c>
      <c r="E53" s="19"/>
    </row>
    <row r="54" spans="1:5" ht="15" customHeight="1">
      <c r="A54" s="33"/>
      <c r="B54" s="33"/>
      <c r="C54" s="37">
        <v>1100</v>
      </c>
      <c r="D54" s="18"/>
      <c r="E54" s="18"/>
    </row>
    <row r="55" spans="1:5" ht="27" customHeight="1">
      <c r="A55" s="33"/>
      <c r="B55" s="30"/>
      <c r="C55" s="32" t="s">
        <v>1157</v>
      </c>
      <c r="D55" s="19">
        <v>552835169</v>
      </c>
      <c r="E55" s="139" t="s">
        <v>1321</v>
      </c>
    </row>
    <row r="56" spans="1:5" ht="27" customHeight="1">
      <c r="A56" s="1190" t="s">
        <v>1158</v>
      </c>
      <c r="B56" s="1190"/>
      <c r="C56" s="1190"/>
      <c r="D56" s="171">
        <f>D51+D37+D7</f>
        <v>3065595169</v>
      </c>
      <c r="E56" s="170"/>
    </row>
  </sheetData>
  <mergeCells count="7">
    <mergeCell ref="A56:C56"/>
    <mergeCell ref="A1:E1"/>
    <mergeCell ref="A2:E2"/>
    <mergeCell ref="A3:E3"/>
    <mergeCell ref="A4:C4"/>
    <mergeCell ref="D4:D5"/>
    <mergeCell ref="E4:E5"/>
  </mergeCells>
  <printOptions/>
  <pageMargins left="0.5511811023622047" right="0.6299212598425197" top="0.7480314960629921" bottom="0.7480314960629921" header="0.31496062992125984" footer="0.31496062992125984"/>
  <pageSetup horizontalDpi="600" verticalDpi="600" orientation="landscape" paperSize="9" r:id="rId2"/>
  <headerFooter>
    <oddHeader>&amp;L&amp;"새굴림,보통"&amp;9&lt;별제제2호서식&gt;</oddHeader>
    <oddFooter>&amp;C&amp;P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workbookViewId="0" topLeftCell="A115">
      <selection activeCell="L125" sqref="L125"/>
    </sheetView>
  </sheetViews>
  <sheetFormatPr defaultColWidth="9.00390625" defaultRowHeight="14.25"/>
  <cols>
    <col min="1" max="1" width="16.50390625" style="69" customWidth="1"/>
    <col min="2" max="2" width="16.75390625" style="69" customWidth="1"/>
    <col min="3" max="3" width="18.75390625" style="9" customWidth="1"/>
    <col min="4" max="4" width="21.25390625" style="9" customWidth="1"/>
    <col min="5" max="5" width="45.625" style="9" customWidth="1"/>
    <col min="6" max="6" width="16.125" style="9" bestFit="1" customWidth="1"/>
    <col min="7" max="256" width="9.00390625" style="9" customWidth="1"/>
    <col min="257" max="257" width="16.50390625" style="9" customWidth="1"/>
    <col min="258" max="258" width="16.75390625" style="9" customWidth="1"/>
    <col min="259" max="259" width="18.75390625" style="9" customWidth="1"/>
    <col min="260" max="260" width="21.25390625" style="9" customWidth="1"/>
    <col min="261" max="261" width="45.625" style="9" customWidth="1"/>
    <col min="262" max="262" width="16.125" style="9" bestFit="1" customWidth="1"/>
    <col min="263" max="512" width="9.00390625" style="9" customWidth="1"/>
    <col min="513" max="513" width="16.50390625" style="9" customWidth="1"/>
    <col min="514" max="514" width="16.75390625" style="9" customWidth="1"/>
    <col min="515" max="515" width="18.75390625" style="9" customWidth="1"/>
    <col min="516" max="516" width="21.25390625" style="9" customWidth="1"/>
    <col min="517" max="517" width="45.625" style="9" customWidth="1"/>
    <col min="518" max="518" width="16.125" style="9" bestFit="1" customWidth="1"/>
    <col min="519" max="768" width="9.00390625" style="9" customWidth="1"/>
    <col min="769" max="769" width="16.50390625" style="9" customWidth="1"/>
    <col min="770" max="770" width="16.75390625" style="9" customWidth="1"/>
    <col min="771" max="771" width="18.75390625" style="9" customWidth="1"/>
    <col min="772" max="772" width="21.25390625" style="9" customWidth="1"/>
    <col min="773" max="773" width="45.625" style="9" customWidth="1"/>
    <col min="774" max="774" width="16.125" style="9" bestFit="1" customWidth="1"/>
    <col min="775" max="1024" width="9.00390625" style="9" customWidth="1"/>
    <col min="1025" max="1025" width="16.50390625" style="9" customWidth="1"/>
    <col min="1026" max="1026" width="16.75390625" style="9" customWidth="1"/>
    <col min="1027" max="1027" width="18.75390625" style="9" customWidth="1"/>
    <col min="1028" max="1028" width="21.25390625" style="9" customWidth="1"/>
    <col min="1029" max="1029" width="45.625" style="9" customWidth="1"/>
    <col min="1030" max="1030" width="16.125" style="9" bestFit="1" customWidth="1"/>
    <col min="1031" max="1280" width="9.00390625" style="9" customWidth="1"/>
    <col min="1281" max="1281" width="16.50390625" style="9" customWidth="1"/>
    <col min="1282" max="1282" width="16.75390625" style="9" customWidth="1"/>
    <col min="1283" max="1283" width="18.75390625" style="9" customWidth="1"/>
    <col min="1284" max="1284" width="21.25390625" style="9" customWidth="1"/>
    <col min="1285" max="1285" width="45.625" style="9" customWidth="1"/>
    <col min="1286" max="1286" width="16.125" style="9" bestFit="1" customWidth="1"/>
    <col min="1287" max="1536" width="9.00390625" style="9" customWidth="1"/>
    <col min="1537" max="1537" width="16.50390625" style="9" customWidth="1"/>
    <col min="1538" max="1538" width="16.75390625" style="9" customWidth="1"/>
    <col min="1539" max="1539" width="18.75390625" style="9" customWidth="1"/>
    <col min="1540" max="1540" width="21.25390625" style="9" customWidth="1"/>
    <col min="1541" max="1541" width="45.625" style="9" customWidth="1"/>
    <col min="1542" max="1542" width="16.125" style="9" bestFit="1" customWidth="1"/>
    <col min="1543" max="1792" width="9.00390625" style="9" customWidth="1"/>
    <col min="1793" max="1793" width="16.50390625" style="9" customWidth="1"/>
    <col min="1794" max="1794" width="16.75390625" style="9" customWidth="1"/>
    <col min="1795" max="1795" width="18.75390625" style="9" customWidth="1"/>
    <col min="1796" max="1796" width="21.25390625" style="9" customWidth="1"/>
    <col min="1797" max="1797" width="45.625" style="9" customWidth="1"/>
    <col min="1798" max="1798" width="16.125" style="9" bestFit="1" customWidth="1"/>
    <col min="1799" max="2048" width="9.00390625" style="9" customWidth="1"/>
    <col min="2049" max="2049" width="16.50390625" style="9" customWidth="1"/>
    <col min="2050" max="2050" width="16.75390625" style="9" customWidth="1"/>
    <col min="2051" max="2051" width="18.75390625" style="9" customWidth="1"/>
    <col min="2052" max="2052" width="21.25390625" style="9" customWidth="1"/>
    <col min="2053" max="2053" width="45.625" style="9" customWidth="1"/>
    <col min="2054" max="2054" width="16.125" style="9" bestFit="1" customWidth="1"/>
    <col min="2055" max="2304" width="9.00390625" style="9" customWidth="1"/>
    <col min="2305" max="2305" width="16.50390625" style="9" customWidth="1"/>
    <col min="2306" max="2306" width="16.75390625" style="9" customWidth="1"/>
    <col min="2307" max="2307" width="18.75390625" style="9" customWidth="1"/>
    <col min="2308" max="2308" width="21.25390625" style="9" customWidth="1"/>
    <col min="2309" max="2309" width="45.625" style="9" customWidth="1"/>
    <col min="2310" max="2310" width="16.125" style="9" bestFit="1" customWidth="1"/>
    <col min="2311" max="2560" width="9.00390625" style="9" customWidth="1"/>
    <col min="2561" max="2561" width="16.50390625" style="9" customWidth="1"/>
    <col min="2562" max="2562" width="16.75390625" style="9" customWidth="1"/>
    <col min="2563" max="2563" width="18.75390625" style="9" customWidth="1"/>
    <col min="2564" max="2564" width="21.25390625" style="9" customWidth="1"/>
    <col min="2565" max="2565" width="45.625" style="9" customWidth="1"/>
    <col min="2566" max="2566" width="16.125" style="9" bestFit="1" customWidth="1"/>
    <col min="2567" max="2816" width="9.00390625" style="9" customWidth="1"/>
    <col min="2817" max="2817" width="16.50390625" style="9" customWidth="1"/>
    <col min="2818" max="2818" width="16.75390625" style="9" customWidth="1"/>
    <col min="2819" max="2819" width="18.75390625" style="9" customWidth="1"/>
    <col min="2820" max="2820" width="21.25390625" style="9" customWidth="1"/>
    <col min="2821" max="2821" width="45.625" style="9" customWidth="1"/>
    <col min="2822" max="2822" width="16.125" style="9" bestFit="1" customWidth="1"/>
    <col min="2823" max="3072" width="9.00390625" style="9" customWidth="1"/>
    <col min="3073" max="3073" width="16.50390625" style="9" customWidth="1"/>
    <col min="3074" max="3074" width="16.75390625" style="9" customWidth="1"/>
    <col min="3075" max="3075" width="18.75390625" style="9" customWidth="1"/>
    <col min="3076" max="3076" width="21.25390625" style="9" customWidth="1"/>
    <col min="3077" max="3077" width="45.625" style="9" customWidth="1"/>
    <col min="3078" max="3078" width="16.125" style="9" bestFit="1" customWidth="1"/>
    <col min="3079" max="3328" width="9.00390625" style="9" customWidth="1"/>
    <col min="3329" max="3329" width="16.50390625" style="9" customWidth="1"/>
    <col min="3330" max="3330" width="16.75390625" style="9" customWidth="1"/>
    <col min="3331" max="3331" width="18.75390625" style="9" customWidth="1"/>
    <col min="3332" max="3332" width="21.25390625" style="9" customWidth="1"/>
    <col min="3333" max="3333" width="45.625" style="9" customWidth="1"/>
    <col min="3334" max="3334" width="16.125" style="9" bestFit="1" customWidth="1"/>
    <col min="3335" max="3584" width="9.00390625" style="9" customWidth="1"/>
    <col min="3585" max="3585" width="16.50390625" style="9" customWidth="1"/>
    <col min="3586" max="3586" width="16.75390625" style="9" customWidth="1"/>
    <col min="3587" max="3587" width="18.75390625" style="9" customWidth="1"/>
    <col min="3588" max="3588" width="21.25390625" style="9" customWidth="1"/>
    <col min="3589" max="3589" width="45.625" style="9" customWidth="1"/>
    <col min="3590" max="3590" width="16.125" style="9" bestFit="1" customWidth="1"/>
    <col min="3591" max="3840" width="9.00390625" style="9" customWidth="1"/>
    <col min="3841" max="3841" width="16.50390625" style="9" customWidth="1"/>
    <col min="3842" max="3842" width="16.75390625" style="9" customWidth="1"/>
    <col min="3843" max="3843" width="18.75390625" style="9" customWidth="1"/>
    <col min="3844" max="3844" width="21.25390625" style="9" customWidth="1"/>
    <col min="3845" max="3845" width="45.625" style="9" customWidth="1"/>
    <col min="3846" max="3846" width="16.125" style="9" bestFit="1" customWidth="1"/>
    <col min="3847" max="4096" width="9.00390625" style="9" customWidth="1"/>
    <col min="4097" max="4097" width="16.50390625" style="9" customWidth="1"/>
    <col min="4098" max="4098" width="16.75390625" style="9" customWidth="1"/>
    <col min="4099" max="4099" width="18.75390625" style="9" customWidth="1"/>
    <col min="4100" max="4100" width="21.25390625" style="9" customWidth="1"/>
    <col min="4101" max="4101" width="45.625" style="9" customWidth="1"/>
    <col min="4102" max="4102" width="16.125" style="9" bestFit="1" customWidth="1"/>
    <col min="4103" max="4352" width="9.00390625" style="9" customWidth="1"/>
    <col min="4353" max="4353" width="16.50390625" style="9" customWidth="1"/>
    <col min="4354" max="4354" width="16.75390625" style="9" customWidth="1"/>
    <col min="4355" max="4355" width="18.75390625" style="9" customWidth="1"/>
    <col min="4356" max="4356" width="21.25390625" style="9" customWidth="1"/>
    <col min="4357" max="4357" width="45.625" style="9" customWidth="1"/>
    <col min="4358" max="4358" width="16.125" style="9" bestFit="1" customWidth="1"/>
    <col min="4359" max="4608" width="9.00390625" style="9" customWidth="1"/>
    <col min="4609" max="4609" width="16.50390625" style="9" customWidth="1"/>
    <col min="4610" max="4610" width="16.75390625" style="9" customWidth="1"/>
    <col min="4611" max="4611" width="18.75390625" style="9" customWidth="1"/>
    <col min="4612" max="4612" width="21.25390625" style="9" customWidth="1"/>
    <col min="4613" max="4613" width="45.625" style="9" customWidth="1"/>
    <col min="4614" max="4614" width="16.125" style="9" bestFit="1" customWidth="1"/>
    <col min="4615" max="4864" width="9.00390625" style="9" customWidth="1"/>
    <col min="4865" max="4865" width="16.50390625" style="9" customWidth="1"/>
    <col min="4866" max="4866" width="16.75390625" style="9" customWidth="1"/>
    <col min="4867" max="4867" width="18.75390625" style="9" customWidth="1"/>
    <col min="4868" max="4868" width="21.25390625" style="9" customWidth="1"/>
    <col min="4869" max="4869" width="45.625" style="9" customWidth="1"/>
    <col min="4870" max="4870" width="16.125" style="9" bestFit="1" customWidth="1"/>
    <col min="4871" max="5120" width="9.00390625" style="9" customWidth="1"/>
    <col min="5121" max="5121" width="16.50390625" style="9" customWidth="1"/>
    <col min="5122" max="5122" width="16.75390625" style="9" customWidth="1"/>
    <col min="5123" max="5123" width="18.75390625" style="9" customWidth="1"/>
    <col min="5124" max="5124" width="21.25390625" style="9" customWidth="1"/>
    <col min="5125" max="5125" width="45.625" style="9" customWidth="1"/>
    <col min="5126" max="5126" width="16.125" style="9" bestFit="1" customWidth="1"/>
    <col min="5127" max="5376" width="9.00390625" style="9" customWidth="1"/>
    <col min="5377" max="5377" width="16.50390625" style="9" customWidth="1"/>
    <col min="5378" max="5378" width="16.75390625" style="9" customWidth="1"/>
    <col min="5379" max="5379" width="18.75390625" style="9" customWidth="1"/>
    <col min="5380" max="5380" width="21.25390625" style="9" customWidth="1"/>
    <col min="5381" max="5381" width="45.625" style="9" customWidth="1"/>
    <col min="5382" max="5382" width="16.125" style="9" bestFit="1" customWidth="1"/>
    <col min="5383" max="5632" width="9.00390625" style="9" customWidth="1"/>
    <col min="5633" max="5633" width="16.50390625" style="9" customWidth="1"/>
    <col min="5634" max="5634" width="16.75390625" style="9" customWidth="1"/>
    <col min="5635" max="5635" width="18.75390625" style="9" customWidth="1"/>
    <col min="5636" max="5636" width="21.25390625" style="9" customWidth="1"/>
    <col min="5637" max="5637" width="45.625" style="9" customWidth="1"/>
    <col min="5638" max="5638" width="16.125" style="9" bestFit="1" customWidth="1"/>
    <col min="5639" max="5888" width="9.00390625" style="9" customWidth="1"/>
    <col min="5889" max="5889" width="16.50390625" style="9" customWidth="1"/>
    <col min="5890" max="5890" width="16.75390625" style="9" customWidth="1"/>
    <col min="5891" max="5891" width="18.75390625" style="9" customWidth="1"/>
    <col min="5892" max="5892" width="21.25390625" style="9" customWidth="1"/>
    <col min="5893" max="5893" width="45.625" style="9" customWidth="1"/>
    <col min="5894" max="5894" width="16.125" style="9" bestFit="1" customWidth="1"/>
    <col min="5895" max="6144" width="9.00390625" style="9" customWidth="1"/>
    <col min="6145" max="6145" width="16.50390625" style="9" customWidth="1"/>
    <col min="6146" max="6146" width="16.75390625" style="9" customWidth="1"/>
    <col min="6147" max="6147" width="18.75390625" style="9" customWidth="1"/>
    <col min="6148" max="6148" width="21.25390625" style="9" customWidth="1"/>
    <col min="6149" max="6149" width="45.625" style="9" customWidth="1"/>
    <col min="6150" max="6150" width="16.125" style="9" bestFit="1" customWidth="1"/>
    <col min="6151" max="6400" width="9.00390625" style="9" customWidth="1"/>
    <col min="6401" max="6401" width="16.50390625" style="9" customWidth="1"/>
    <col min="6402" max="6402" width="16.75390625" style="9" customWidth="1"/>
    <col min="6403" max="6403" width="18.75390625" style="9" customWidth="1"/>
    <col min="6404" max="6404" width="21.25390625" style="9" customWidth="1"/>
    <col min="6405" max="6405" width="45.625" style="9" customWidth="1"/>
    <col min="6406" max="6406" width="16.125" style="9" bestFit="1" customWidth="1"/>
    <col min="6407" max="6656" width="9.00390625" style="9" customWidth="1"/>
    <col min="6657" max="6657" width="16.50390625" style="9" customWidth="1"/>
    <col min="6658" max="6658" width="16.75390625" style="9" customWidth="1"/>
    <col min="6659" max="6659" width="18.75390625" style="9" customWidth="1"/>
    <col min="6660" max="6660" width="21.25390625" style="9" customWidth="1"/>
    <col min="6661" max="6661" width="45.625" style="9" customWidth="1"/>
    <col min="6662" max="6662" width="16.125" style="9" bestFit="1" customWidth="1"/>
    <col min="6663" max="6912" width="9.00390625" style="9" customWidth="1"/>
    <col min="6913" max="6913" width="16.50390625" style="9" customWidth="1"/>
    <col min="6914" max="6914" width="16.75390625" style="9" customWidth="1"/>
    <col min="6915" max="6915" width="18.75390625" style="9" customWidth="1"/>
    <col min="6916" max="6916" width="21.25390625" style="9" customWidth="1"/>
    <col min="6917" max="6917" width="45.625" style="9" customWidth="1"/>
    <col min="6918" max="6918" width="16.125" style="9" bestFit="1" customWidth="1"/>
    <col min="6919" max="7168" width="9.00390625" style="9" customWidth="1"/>
    <col min="7169" max="7169" width="16.50390625" style="9" customWidth="1"/>
    <col min="7170" max="7170" width="16.75390625" style="9" customWidth="1"/>
    <col min="7171" max="7171" width="18.75390625" style="9" customWidth="1"/>
    <col min="7172" max="7172" width="21.25390625" style="9" customWidth="1"/>
    <col min="7173" max="7173" width="45.625" style="9" customWidth="1"/>
    <col min="7174" max="7174" width="16.125" style="9" bestFit="1" customWidth="1"/>
    <col min="7175" max="7424" width="9.00390625" style="9" customWidth="1"/>
    <col min="7425" max="7425" width="16.50390625" style="9" customWidth="1"/>
    <col min="7426" max="7426" width="16.75390625" style="9" customWidth="1"/>
    <col min="7427" max="7427" width="18.75390625" style="9" customWidth="1"/>
    <col min="7428" max="7428" width="21.25390625" style="9" customWidth="1"/>
    <col min="7429" max="7429" width="45.625" style="9" customWidth="1"/>
    <col min="7430" max="7430" width="16.125" style="9" bestFit="1" customWidth="1"/>
    <col min="7431" max="7680" width="9.00390625" style="9" customWidth="1"/>
    <col min="7681" max="7681" width="16.50390625" style="9" customWidth="1"/>
    <col min="7682" max="7682" width="16.75390625" style="9" customWidth="1"/>
    <col min="7683" max="7683" width="18.75390625" style="9" customWidth="1"/>
    <col min="7684" max="7684" width="21.25390625" style="9" customWidth="1"/>
    <col min="7685" max="7685" width="45.625" style="9" customWidth="1"/>
    <col min="7686" max="7686" width="16.125" style="9" bestFit="1" customWidth="1"/>
    <col min="7687" max="7936" width="9.00390625" style="9" customWidth="1"/>
    <col min="7937" max="7937" width="16.50390625" style="9" customWidth="1"/>
    <col min="7938" max="7938" width="16.75390625" style="9" customWidth="1"/>
    <col min="7939" max="7939" width="18.75390625" style="9" customWidth="1"/>
    <col min="7940" max="7940" width="21.25390625" style="9" customWidth="1"/>
    <col min="7941" max="7941" width="45.625" style="9" customWidth="1"/>
    <col min="7942" max="7942" width="16.125" style="9" bestFit="1" customWidth="1"/>
    <col min="7943" max="8192" width="9.00390625" style="9" customWidth="1"/>
    <col min="8193" max="8193" width="16.50390625" style="9" customWidth="1"/>
    <col min="8194" max="8194" width="16.75390625" style="9" customWidth="1"/>
    <col min="8195" max="8195" width="18.75390625" style="9" customWidth="1"/>
    <col min="8196" max="8196" width="21.25390625" style="9" customWidth="1"/>
    <col min="8197" max="8197" width="45.625" style="9" customWidth="1"/>
    <col min="8198" max="8198" width="16.125" style="9" bestFit="1" customWidth="1"/>
    <col min="8199" max="8448" width="9.00390625" style="9" customWidth="1"/>
    <col min="8449" max="8449" width="16.50390625" style="9" customWidth="1"/>
    <col min="8450" max="8450" width="16.75390625" style="9" customWidth="1"/>
    <col min="8451" max="8451" width="18.75390625" style="9" customWidth="1"/>
    <col min="8452" max="8452" width="21.25390625" style="9" customWidth="1"/>
    <col min="8453" max="8453" width="45.625" style="9" customWidth="1"/>
    <col min="8454" max="8454" width="16.125" style="9" bestFit="1" customWidth="1"/>
    <col min="8455" max="8704" width="9.00390625" style="9" customWidth="1"/>
    <col min="8705" max="8705" width="16.50390625" style="9" customWidth="1"/>
    <col min="8706" max="8706" width="16.75390625" style="9" customWidth="1"/>
    <col min="8707" max="8707" width="18.75390625" style="9" customWidth="1"/>
    <col min="8708" max="8708" width="21.25390625" style="9" customWidth="1"/>
    <col min="8709" max="8709" width="45.625" style="9" customWidth="1"/>
    <col min="8710" max="8710" width="16.125" style="9" bestFit="1" customWidth="1"/>
    <col min="8711" max="8960" width="9.00390625" style="9" customWidth="1"/>
    <col min="8961" max="8961" width="16.50390625" style="9" customWidth="1"/>
    <col min="8962" max="8962" width="16.75390625" style="9" customWidth="1"/>
    <col min="8963" max="8963" width="18.75390625" style="9" customWidth="1"/>
    <col min="8964" max="8964" width="21.25390625" style="9" customWidth="1"/>
    <col min="8965" max="8965" width="45.625" style="9" customWidth="1"/>
    <col min="8966" max="8966" width="16.125" style="9" bestFit="1" customWidth="1"/>
    <col min="8967" max="9216" width="9.00390625" style="9" customWidth="1"/>
    <col min="9217" max="9217" width="16.50390625" style="9" customWidth="1"/>
    <col min="9218" max="9218" width="16.75390625" style="9" customWidth="1"/>
    <col min="9219" max="9219" width="18.75390625" style="9" customWidth="1"/>
    <col min="9220" max="9220" width="21.25390625" style="9" customWidth="1"/>
    <col min="9221" max="9221" width="45.625" style="9" customWidth="1"/>
    <col min="9222" max="9222" width="16.125" style="9" bestFit="1" customWidth="1"/>
    <col min="9223" max="9472" width="9.00390625" style="9" customWidth="1"/>
    <col min="9473" max="9473" width="16.50390625" style="9" customWidth="1"/>
    <col min="9474" max="9474" width="16.75390625" style="9" customWidth="1"/>
    <col min="9475" max="9475" width="18.75390625" style="9" customWidth="1"/>
    <col min="9476" max="9476" width="21.25390625" style="9" customWidth="1"/>
    <col min="9477" max="9477" width="45.625" style="9" customWidth="1"/>
    <col min="9478" max="9478" width="16.125" style="9" bestFit="1" customWidth="1"/>
    <col min="9479" max="9728" width="9.00390625" style="9" customWidth="1"/>
    <col min="9729" max="9729" width="16.50390625" style="9" customWidth="1"/>
    <col min="9730" max="9730" width="16.75390625" style="9" customWidth="1"/>
    <col min="9731" max="9731" width="18.75390625" style="9" customWidth="1"/>
    <col min="9732" max="9732" width="21.25390625" style="9" customWidth="1"/>
    <col min="9733" max="9733" width="45.625" style="9" customWidth="1"/>
    <col min="9734" max="9734" width="16.125" style="9" bestFit="1" customWidth="1"/>
    <col min="9735" max="9984" width="9.00390625" style="9" customWidth="1"/>
    <col min="9985" max="9985" width="16.50390625" style="9" customWidth="1"/>
    <col min="9986" max="9986" width="16.75390625" style="9" customWidth="1"/>
    <col min="9987" max="9987" width="18.75390625" style="9" customWidth="1"/>
    <col min="9988" max="9988" width="21.25390625" style="9" customWidth="1"/>
    <col min="9989" max="9989" width="45.625" style="9" customWidth="1"/>
    <col min="9990" max="9990" width="16.125" style="9" bestFit="1" customWidth="1"/>
    <col min="9991" max="10240" width="9.00390625" style="9" customWidth="1"/>
    <col min="10241" max="10241" width="16.50390625" style="9" customWidth="1"/>
    <col min="10242" max="10242" width="16.75390625" style="9" customWidth="1"/>
    <col min="10243" max="10243" width="18.75390625" style="9" customWidth="1"/>
    <col min="10244" max="10244" width="21.25390625" style="9" customWidth="1"/>
    <col min="10245" max="10245" width="45.625" style="9" customWidth="1"/>
    <col min="10246" max="10246" width="16.125" style="9" bestFit="1" customWidth="1"/>
    <col min="10247" max="10496" width="9.00390625" style="9" customWidth="1"/>
    <col min="10497" max="10497" width="16.50390625" style="9" customWidth="1"/>
    <col min="10498" max="10498" width="16.75390625" style="9" customWidth="1"/>
    <col min="10499" max="10499" width="18.75390625" style="9" customWidth="1"/>
    <col min="10500" max="10500" width="21.25390625" style="9" customWidth="1"/>
    <col min="10501" max="10501" width="45.625" style="9" customWidth="1"/>
    <col min="10502" max="10502" width="16.125" style="9" bestFit="1" customWidth="1"/>
    <col min="10503" max="10752" width="9.00390625" style="9" customWidth="1"/>
    <col min="10753" max="10753" width="16.50390625" style="9" customWidth="1"/>
    <col min="10754" max="10754" width="16.75390625" style="9" customWidth="1"/>
    <col min="10755" max="10755" width="18.75390625" style="9" customWidth="1"/>
    <col min="10756" max="10756" width="21.25390625" style="9" customWidth="1"/>
    <col min="10757" max="10757" width="45.625" style="9" customWidth="1"/>
    <col min="10758" max="10758" width="16.125" style="9" bestFit="1" customWidth="1"/>
    <col min="10759" max="11008" width="9.00390625" style="9" customWidth="1"/>
    <col min="11009" max="11009" width="16.50390625" style="9" customWidth="1"/>
    <col min="11010" max="11010" width="16.75390625" style="9" customWidth="1"/>
    <col min="11011" max="11011" width="18.75390625" style="9" customWidth="1"/>
    <col min="11012" max="11012" width="21.25390625" style="9" customWidth="1"/>
    <col min="11013" max="11013" width="45.625" style="9" customWidth="1"/>
    <col min="11014" max="11014" width="16.125" style="9" bestFit="1" customWidth="1"/>
    <col min="11015" max="11264" width="9.00390625" style="9" customWidth="1"/>
    <col min="11265" max="11265" width="16.50390625" style="9" customWidth="1"/>
    <col min="11266" max="11266" width="16.75390625" style="9" customWidth="1"/>
    <col min="11267" max="11267" width="18.75390625" style="9" customWidth="1"/>
    <col min="11268" max="11268" width="21.25390625" style="9" customWidth="1"/>
    <col min="11269" max="11269" width="45.625" style="9" customWidth="1"/>
    <col min="11270" max="11270" width="16.125" style="9" bestFit="1" customWidth="1"/>
    <col min="11271" max="11520" width="9.00390625" style="9" customWidth="1"/>
    <col min="11521" max="11521" width="16.50390625" style="9" customWidth="1"/>
    <col min="11522" max="11522" width="16.75390625" style="9" customWidth="1"/>
    <col min="11523" max="11523" width="18.75390625" style="9" customWidth="1"/>
    <col min="11524" max="11524" width="21.25390625" style="9" customWidth="1"/>
    <col min="11525" max="11525" width="45.625" style="9" customWidth="1"/>
    <col min="11526" max="11526" width="16.125" style="9" bestFit="1" customWidth="1"/>
    <col min="11527" max="11776" width="9.00390625" style="9" customWidth="1"/>
    <col min="11777" max="11777" width="16.50390625" style="9" customWidth="1"/>
    <col min="11778" max="11778" width="16.75390625" style="9" customWidth="1"/>
    <col min="11779" max="11779" width="18.75390625" style="9" customWidth="1"/>
    <col min="11780" max="11780" width="21.25390625" style="9" customWidth="1"/>
    <col min="11781" max="11781" width="45.625" style="9" customWidth="1"/>
    <col min="11782" max="11782" width="16.125" style="9" bestFit="1" customWidth="1"/>
    <col min="11783" max="12032" width="9.00390625" style="9" customWidth="1"/>
    <col min="12033" max="12033" width="16.50390625" style="9" customWidth="1"/>
    <col min="12034" max="12034" width="16.75390625" style="9" customWidth="1"/>
    <col min="12035" max="12035" width="18.75390625" style="9" customWidth="1"/>
    <col min="12036" max="12036" width="21.25390625" style="9" customWidth="1"/>
    <col min="12037" max="12037" width="45.625" style="9" customWidth="1"/>
    <col min="12038" max="12038" width="16.125" style="9" bestFit="1" customWidth="1"/>
    <col min="12039" max="12288" width="9.00390625" style="9" customWidth="1"/>
    <col min="12289" max="12289" width="16.50390625" style="9" customWidth="1"/>
    <col min="12290" max="12290" width="16.75390625" style="9" customWidth="1"/>
    <col min="12291" max="12291" width="18.75390625" style="9" customWidth="1"/>
    <col min="12292" max="12292" width="21.25390625" style="9" customWidth="1"/>
    <col min="12293" max="12293" width="45.625" style="9" customWidth="1"/>
    <col min="12294" max="12294" width="16.125" style="9" bestFit="1" customWidth="1"/>
    <col min="12295" max="12544" width="9.00390625" style="9" customWidth="1"/>
    <col min="12545" max="12545" width="16.50390625" style="9" customWidth="1"/>
    <col min="12546" max="12546" width="16.75390625" style="9" customWidth="1"/>
    <col min="12547" max="12547" width="18.75390625" style="9" customWidth="1"/>
    <col min="12548" max="12548" width="21.25390625" style="9" customWidth="1"/>
    <col min="12549" max="12549" width="45.625" style="9" customWidth="1"/>
    <col min="12550" max="12550" width="16.125" style="9" bestFit="1" customWidth="1"/>
    <col min="12551" max="12800" width="9.00390625" style="9" customWidth="1"/>
    <col min="12801" max="12801" width="16.50390625" style="9" customWidth="1"/>
    <col min="12802" max="12802" width="16.75390625" style="9" customWidth="1"/>
    <col min="12803" max="12803" width="18.75390625" style="9" customWidth="1"/>
    <col min="12804" max="12804" width="21.25390625" style="9" customWidth="1"/>
    <col min="12805" max="12805" width="45.625" style="9" customWidth="1"/>
    <col min="12806" max="12806" width="16.125" style="9" bestFit="1" customWidth="1"/>
    <col min="12807" max="13056" width="9.00390625" style="9" customWidth="1"/>
    <col min="13057" max="13057" width="16.50390625" style="9" customWidth="1"/>
    <col min="13058" max="13058" width="16.75390625" style="9" customWidth="1"/>
    <col min="13059" max="13059" width="18.75390625" style="9" customWidth="1"/>
    <col min="13060" max="13060" width="21.25390625" style="9" customWidth="1"/>
    <col min="13061" max="13061" width="45.625" style="9" customWidth="1"/>
    <col min="13062" max="13062" width="16.125" style="9" bestFit="1" customWidth="1"/>
    <col min="13063" max="13312" width="9.00390625" style="9" customWidth="1"/>
    <col min="13313" max="13313" width="16.50390625" style="9" customWidth="1"/>
    <col min="13314" max="13314" width="16.75390625" style="9" customWidth="1"/>
    <col min="13315" max="13315" width="18.75390625" style="9" customWidth="1"/>
    <col min="13316" max="13316" width="21.25390625" style="9" customWidth="1"/>
    <col min="13317" max="13317" width="45.625" style="9" customWidth="1"/>
    <col min="13318" max="13318" width="16.125" style="9" bestFit="1" customWidth="1"/>
    <col min="13319" max="13568" width="9.00390625" style="9" customWidth="1"/>
    <col min="13569" max="13569" width="16.50390625" style="9" customWidth="1"/>
    <col min="13570" max="13570" width="16.75390625" style="9" customWidth="1"/>
    <col min="13571" max="13571" width="18.75390625" style="9" customWidth="1"/>
    <col min="13572" max="13572" width="21.25390625" style="9" customWidth="1"/>
    <col min="13573" max="13573" width="45.625" style="9" customWidth="1"/>
    <col min="13574" max="13574" width="16.125" style="9" bestFit="1" customWidth="1"/>
    <col min="13575" max="13824" width="9.00390625" style="9" customWidth="1"/>
    <col min="13825" max="13825" width="16.50390625" style="9" customWidth="1"/>
    <col min="13826" max="13826" width="16.75390625" style="9" customWidth="1"/>
    <col min="13827" max="13827" width="18.75390625" style="9" customWidth="1"/>
    <col min="13828" max="13828" width="21.25390625" style="9" customWidth="1"/>
    <col min="13829" max="13829" width="45.625" style="9" customWidth="1"/>
    <col min="13830" max="13830" width="16.125" style="9" bestFit="1" customWidth="1"/>
    <col min="13831" max="14080" width="9.00390625" style="9" customWidth="1"/>
    <col min="14081" max="14081" width="16.50390625" style="9" customWidth="1"/>
    <col min="14082" max="14082" width="16.75390625" style="9" customWidth="1"/>
    <col min="14083" max="14083" width="18.75390625" style="9" customWidth="1"/>
    <col min="14084" max="14084" width="21.25390625" style="9" customWidth="1"/>
    <col min="14085" max="14085" width="45.625" style="9" customWidth="1"/>
    <col min="14086" max="14086" width="16.125" style="9" bestFit="1" customWidth="1"/>
    <col min="14087" max="14336" width="9.00390625" style="9" customWidth="1"/>
    <col min="14337" max="14337" width="16.50390625" style="9" customWidth="1"/>
    <col min="14338" max="14338" width="16.75390625" style="9" customWidth="1"/>
    <col min="14339" max="14339" width="18.75390625" style="9" customWidth="1"/>
    <col min="14340" max="14340" width="21.25390625" style="9" customWidth="1"/>
    <col min="14341" max="14341" width="45.625" style="9" customWidth="1"/>
    <col min="14342" max="14342" width="16.125" style="9" bestFit="1" customWidth="1"/>
    <col min="14343" max="14592" width="9.00390625" style="9" customWidth="1"/>
    <col min="14593" max="14593" width="16.50390625" style="9" customWidth="1"/>
    <col min="14594" max="14594" width="16.75390625" style="9" customWidth="1"/>
    <col min="14595" max="14595" width="18.75390625" style="9" customWidth="1"/>
    <col min="14596" max="14596" width="21.25390625" style="9" customWidth="1"/>
    <col min="14597" max="14597" width="45.625" style="9" customWidth="1"/>
    <col min="14598" max="14598" width="16.125" style="9" bestFit="1" customWidth="1"/>
    <col min="14599" max="14848" width="9.00390625" style="9" customWidth="1"/>
    <col min="14849" max="14849" width="16.50390625" style="9" customWidth="1"/>
    <col min="14850" max="14850" width="16.75390625" style="9" customWidth="1"/>
    <col min="14851" max="14851" width="18.75390625" style="9" customWidth="1"/>
    <col min="14852" max="14852" width="21.25390625" style="9" customWidth="1"/>
    <col min="14853" max="14853" width="45.625" style="9" customWidth="1"/>
    <col min="14854" max="14854" width="16.125" style="9" bestFit="1" customWidth="1"/>
    <col min="14855" max="15104" width="9.00390625" style="9" customWidth="1"/>
    <col min="15105" max="15105" width="16.50390625" style="9" customWidth="1"/>
    <col min="15106" max="15106" width="16.75390625" style="9" customWidth="1"/>
    <col min="15107" max="15107" width="18.75390625" style="9" customWidth="1"/>
    <col min="15108" max="15108" width="21.25390625" style="9" customWidth="1"/>
    <col min="15109" max="15109" width="45.625" style="9" customWidth="1"/>
    <col min="15110" max="15110" width="16.125" style="9" bestFit="1" customWidth="1"/>
    <col min="15111" max="15360" width="9.00390625" style="9" customWidth="1"/>
    <col min="15361" max="15361" width="16.50390625" style="9" customWidth="1"/>
    <col min="15362" max="15362" width="16.75390625" style="9" customWidth="1"/>
    <col min="15363" max="15363" width="18.75390625" style="9" customWidth="1"/>
    <col min="15364" max="15364" width="21.25390625" style="9" customWidth="1"/>
    <col min="15365" max="15365" width="45.625" style="9" customWidth="1"/>
    <col min="15366" max="15366" width="16.125" style="9" bestFit="1" customWidth="1"/>
    <col min="15367" max="15616" width="9.00390625" style="9" customWidth="1"/>
    <col min="15617" max="15617" width="16.50390625" style="9" customWidth="1"/>
    <col min="15618" max="15618" width="16.75390625" style="9" customWidth="1"/>
    <col min="15619" max="15619" width="18.75390625" style="9" customWidth="1"/>
    <col min="15620" max="15620" width="21.25390625" style="9" customWidth="1"/>
    <col min="15621" max="15621" width="45.625" style="9" customWidth="1"/>
    <col min="15622" max="15622" width="16.125" style="9" bestFit="1" customWidth="1"/>
    <col min="15623" max="15872" width="9.00390625" style="9" customWidth="1"/>
    <col min="15873" max="15873" width="16.50390625" style="9" customWidth="1"/>
    <col min="15874" max="15874" width="16.75390625" style="9" customWidth="1"/>
    <col min="15875" max="15875" width="18.75390625" style="9" customWidth="1"/>
    <col min="15876" max="15876" width="21.25390625" style="9" customWidth="1"/>
    <col min="15877" max="15877" width="45.625" style="9" customWidth="1"/>
    <col min="15878" max="15878" width="16.125" style="9" bestFit="1" customWidth="1"/>
    <col min="15879" max="16128" width="9.00390625" style="9" customWidth="1"/>
    <col min="16129" max="16129" width="16.50390625" style="9" customWidth="1"/>
    <col min="16130" max="16130" width="16.75390625" style="9" customWidth="1"/>
    <col min="16131" max="16131" width="18.75390625" style="9" customWidth="1"/>
    <col min="16132" max="16132" width="21.25390625" style="9" customWidth="1"/>
    <col min="16133" max="16133" width="45.625" style="9" customWidth="1"/>
    <col min="16134" max="16134" width="16.125" style="9" bestFit="1" customWidth="1"/>
    <col min="16135" max="16384" width="9.00390625" style="9" customWidth="1"/>
  </cols>
  <sheetData>
    <row r="1" spans="1:5" ht="31.5" customHeight="1">
      <c r="A1" s="993" t="s">
        <v>1292</v>
      </c>
      <c r="B1" s="994"/>
      <c r="C1" s="994"/>
      <c r="D1" s="994"/>
      <c r="E1" s="994"/>
    </row>
    <row r="2" spans="1:5" ht="14.25" customHeight="1">
      <c r="A2" s="995" t="s">
        <v>1170</v>
      </c>
      <c r="B2" s="995"/>
      <c r="C2" s="995"/>
      <c r="D2" s="995"/>
      <c r="E2" s="995"/>
    </row>
    <row r="3" spans="1:5" s="72" customFormat="1" ht="25.5">
      <c r="A3" s="1191" t="s">
        <v>1171</v>
      </c>
      <c r="B3" s="1191"/>
      <c r="C3" s="1191"/>
      <c r="D3" s="1191"/>
      <c r="E3" s="1191"/>
    </row>
    <row r="4" spans="1:5" s="73" customFormat="1" ht="18.75" customHeight="1">
      <c r="A4" s="1033" t="s">
        <v>1172</v>
      </c>
      <c r="B4" s="1033"/>
      <c r="C4" s="1033"/>
      <c r="D4" s="1034" t="s">
        <v>1294</v>
      </c>
      <c r="E4" s="1188" t="s">
        <v>1295</v>
      </c>
    </row>
    <row r="5" spans="1:5" s="73" customFormat="1" ht="18" customHeight="1">
      <c r="A5" s="683" t="s">
        <v>1176</v>
      </c>
      <c r="B5" s="683" t="s">
        <v>1177</v>
      </c>
      <c r="C5" s="683" t="s">
        <v>1178</v>
      </c>
      <c r="D5" s="1033"/>
      <c r="E5" s="1189"/>
    </row>
    <row r="6" spans="1:5" s="77" customFormat="1" ht="12" customHeight="1">
      <c r="A6" s="206">
        <v>4100</v>
      </c>
      <c r="B6" s="29"/>
      <c r="C6" s="29"/>
      <c r="D6" s="89"/>
      <c r="E6" s="29"/>
    </row>
    <row r="7" spans="1:5" s="77" customFormat="1" ht="12" customHeight="1">
      <c r="A7" s="680" t="s">
        <v>1182</v>
      </c>
      <c r="B7" s="677"/>
      <c r="C7" s="207"/>
      <c r="D7" s="36">
        <f>D9+D15</f>
        <v>434908000</v>
      </c>
      <c r="E7" s="36"/>
    </row>
    <row r="8" spans="1:5" s="77" customFormat="1" ht="12" customHeight="1">
      <c r="A8" s="94"/>
      <c r="B8" s="78">
        <v>4110</v>
      </c>
      <c r="C8" s="79"/>
      <c r="D8" s="18"/>
      <c r="E8" s="18"/>
    </row>
    <row r="9" spans="1:5" s="77" customFormat="1" ht="12" customHeight="1">
      <c r="A9" s="94"/>
      <c r="B9" s="680" t="s">
        <v>1322</v>
      </c>
      <c r="C9" s="80"/>
      <c r="D9" s="36">
        <f>D11</f>
        <v>14000000</v>
      </c>
      <c r="E9" s="36"/>
    </row>
    <row r="10" spans="1:5" s="77" customFormat="1" ht="12" customHeight="1">
      <c r="A10" s="94"/>
      <c r="B10" s="113"/>
      <c r="C10" s="85">
        <v>4113</v>
      </c>
      <c r="D10" s="18"/>
      <c r="E10" s="18"/>
    </row>
    <row r="11" spans="1:5" s="77" customFormat="1" ht="12" customHeight="1">
      <c r="A11" s="94"/>
      <c r="B11" s="113"/>
      <c r="C11" s="145" t="s">
        <v>1185</v>
      </c>
      <c r="D11" s="36">
        <f>D12+D13</f>
        <v>14000000</v>
      </c>
      <c r="E11" s="36"/>
    </row>
    <row r="12" spans="1:5" s="77" customFormat="1" ht="12" customHeight="1">
      <c r="A12" s="94"/>
      <c r="B12" s="113"/>
      <c r="C12" s="145"/>
      <c r="D12" s="36">
        <v>6000000</v>
      </c>
      <c r="E12" s="138" t="s">
        <v>1323</v>
      </c>
    </row>
    <row r="13" spans="1:5" s="77" customFormat="1" ht="12" customHeight="1">
      <c r="A13" s="94"/>
      <c r="B13" s="113"/>
      <c r="C13" s="145"/>
      <c r="D13" s="156">
        <v>8000000</v>
      </c>
      <c r="E13" s="138" t="s">
        <v>1324</v>
      </c>
    </row>
    <row r="14" spans="1:5" s="77" customFormat="1" ht="12" customHeight="1">
      <c r="A14" s="113"/>
      <c r="B14" s="78">
        <v>4120</v>
      </c>
      <c r="C14" s="40"/>
      <c r="D14" s="18"/>
      <c r="E14" s="147"/>
    </row>
    <row r="15" spans="1:5" s="77" customFormat="1" ht="12" customHeight="1">
      <c r="A15" s="113"/>
      <c r="B15" s="680" t="s">
        <v>1186</v>
      </c>
      <c r="C15" s="32"/>
      <c r="D15" s="19">
        <f>D17+D20+D23+D26+D33+D36</f>
        <v>420908000</v>
      </c>
      <c r="E15" s="139"/>
    </row>
    <row r="16" spans="1:5" s="77" customFormat="1" ht="12" customHeight="1">
      <c r="A16" s="113"/>
      <c r="B16" s="94"/>
      <c r="C16" s="37">
        <v>4121</v>
      </c>
      <c r="D16" s="18"/>
      <c r="E16" s="147"/>
    </row>
    <row r="17" spans="1:5" s="77" customFormat="1" ht="12" customHeight="1">
      <c r="A17" s="113"/>
      <c r="B17" s="94"/>
      <c r="C17" s="46" t="s">
        <v>1187</v>
      </c>
      <c r="D17" s="36">
        <f>D18</f>
        <v>150739000</v>
      </c>
      <c r="E17" s="138"/>
    </row>
    <row r="18" spans="1:5" s="77" customFormat="1" ht="12" customHeight="1">
      <c r="A18" s="113"/>
      <c r="B18" s="94"/>
      <c r="C18" s="46"/>
      <c r="D18" s="36">
        <v>150739000</v>
      </c>
      <c r="E18" s="138" t="s">
        <v>1325</v>
      </c>
    </row>
    <row r="19" spans="1:5" s="77" customFormat="1" ht="12" customHeight="1">
      <c r="A19" s="113"/>
      <c r="B19" s="94"/>
      <c r="C19" s="37">
        <v>4122</v>
      </c>
      <c r="D19" s="18"/>
      <c r="E19" s="147"/>
    </row>
    <row r="20" spans="1:5" s="77" customFormat="1" ht="12" customHeight="1">
      <c r="A20" s="113"/>
      <c r="B20" s="94"/>
      <c r="C20" s="46" t="s">
        <v>1188</v>
      </c>
      <c r="D20" s="36">
        <f>D21</f>
        <v>150739000</v>
      </c>
      <c r="E20" s="138"/>
    </row>
    <row r="21" spans="1:5" s="77" customFormat="1" ht="12" customHeight="1">
      <c r="A21" s="113"/>
      <c r="B21" s="94"/>
      <c r="C21" s="46"/>
      <c r="D21" s="36">
        <v>150739000</v>
      </c>
      <c r="E21" s="138" t="s">
        <v>1326</v>
      </c>
    </row>
    <row r="22" spans="1:5" s="77" customFormat="1" ht="12" customHeight="1">
      <c r="A22" s="113"/>
      <c r="B22" s="94"/>
      <c r="C22" s="37">
        <v>4123</v>
      </c>
      <c r="D22" s="18"/>
      <c r="E22" s="147"/>
    </row>
    <row r="23" spans="1:5" s="77" customFormat="1" ht="12" customHeight="1">
      <c r="A23" s="113"/>
      <c r="B23" s="94"/>
      <c r="C23" s="46" t="s">
        <v>1189</v>
      </c>
      <c r="D23" s="36">
        <f>D24</f>
        <v>44190000</v>
      </c>
      <c r="E23" s="138"/>
    </row>
    <row r="24" spans="1:5" s="77" customFormat="1" ht="12" customHeight="1">
      <c r="A24" s="113"/>
      <c r="B24" s="94"/>
      <c r="C24" s="46"/>
      <c r="D24" s="36">
        <v>44190000</v>
      </c>
      <c r="E24" s="138" t="s">
        <v>1327</v>
      </c>
    </row>
    <row r="25" spans="1:5" s="77" customFormat="1" ht="12" customHeight="1">
      <c r="A25" s="113"/>
      <c r="B25" s="94"/>
      <c r="C25" s="37">
        <v>4124</v>
      </c>
      <c r="D25" s="18"/>
      <c r="E25" s="147"/>
    </row>
    <row r="26" spans="1:5" s="77" customFormat="1" ht="12" customHeight="1">
      <c r="A26" s="113"/>
      <c r="B26" s="94"/>
      <c r="C26" s="46" t="s">
        <v>1328</v>
      </c>
      <c r="D26" s="36">
        <f>D27+D28+D29+D30+D31</f>
        <v>33240000</v>
      </c>
      <c r="E26" s="138"/>
    </row>
    <row r="27" spans="1:5" s="77" customFormat="1" ht="12" customHeight="1">
      <c r="A27" s="113"/>
      <c r="B27" s="94"/>
      <c r="C27" s="46"/>
      <c r="D27" s="36">
        <v>18000000</v>
      </c>
      <c r="E27" s="138" t="s">
        <v>1329</v>
      </c>
    </row>
    <row r="28" spans="1:5" s="77" customFormat="1" ht="12" customHeight="1">
      <c r="A28" s="113"/>
      <c r="B28" s="94"/>
      <c r="C28" s="46"/>
      <c r="D28" s="36">
        <v>2900000</v>
      </c>
      <c r="E28" s="138" t="s">
        <v>1330</v>
      </c>
    </row>
    <row r="29" spans="1:5" s="77" customFormat="1" ht="12" customHeight="1">
      <c r="A29" s="113"/>
      <c r="B29" s="94"/>
      <c r="C29" s="46"/>
      <c r="D29" s="36">
        <v>10740000</v>
      </c>
      <c r="E29" s="138" t="s">
        <v>1331</v>
      </c>
    </row>
    <row r="30" spans="1:5" s="77" customFormat="1" ht="12" customHeight="1">
      <c r="A30" s="113"/>
      <c r="B30" s="94"/>
      <c r="C30" s="46"/>
      <c r="D30" s="36">
        <v>1200000</v>
      </c>
      <c r="E30" s="138" t="s">
        <v>1332</v>
      </c>
    </row>
    <row r="31" spans="1:5" s="77" customFormat="1" ht="12" customHeight="1">
      <c r="A31" s="113"/>
      <c r="B31" s="94"/>
      <c r="C31" s="46"/>
      <c r="D31" s="36">
        <v>400000</v>
      </c>
      <c r="E31" s="138" t="s">
        <v>1333</v>
      </c>
    </row>
    <row r="32" spans="1:5" s="77" customFormat="1" ht="12" customHeight="1">
      <c r="A32" s="113"/>
      <c r="B32" s="94"/>
      <c r="C32" s="37">
        <v>4125</v>
      </c>
      <c r="D32" s="18"/>
      <c r="E32" s="147"/>
    </row>
    <row r="33" spans="1:5" s="77" customFormat="1" ht="12" customHeight="1">
      <c r="A33" s="113"/>
      <c r="B33" s="94"/>
      <c r="C33" s="46" t="s">
        <v>1191</v>
      </c>
      <c r="D33" s="36">
        <f>D34</f>
        <v>36000000</v>
      </c>
      <c r="E33" s="138"/>
    </row>
    <row r="34" spans="1:5" s="77" customFormat="1" ht="12">
      <c r="A34" s="113"/>
      <c r="B34" s="94"/>
      <c r="C34" s="32"/>
      <c r="D34" s="19">
        <v>36000000</v>
      </c>
      <c r="E34" s="139" t="s">
        <v>1334</v>
      </c>
    </row>
    <row r="35" spans="1:5" s="77" customFormat="1" ht="12" customHeight="1">
      <c r="A35" s="114"/>
      <c r="B35" s="97"/>
      <c r="C35" s="56">
        <v>4127</v>
      </c>
      <c r="D35" s="57"/>
      <c r="E35" s="518"/>
    </row>
    <row r="36" spans="1:5" s="77" customFormat="1" ht="12" customHeight="1">
      <c r="A36" s="203"/>
      <c r="B36" s="106"/>
      <c r="C36" s="40" t="s">
        <v>1192</v>
      </c>
      <c r="D36" s="18">
        <f>D37</f>
        <v>6000000</v>
      </c>
      <c r="E36" s="147"/>
    </row>
    <row r="37" spans="1:5" s="77" customFormat="1" ht="12" customHeight="1">
      <c r="A37" s="114"/>
      <c r="B37" s="97"/>
      <c r="C37" s="32"/>
      <c r="D37" s="19">
        <v>6000000</v>
      </c>
      <c r="E37" s="139" t="s">
        <v>1335</v>
      </c>
    </row>
    <row r="38" spans="1:5" s="77" customFormat="1" ht="12" customHeight="1">
      <c r="A38" s="78">
        <v>4200</v>
      </c>
      <c r="B38" s="535"/>
      <c r="C38" s="40"/>
      <c r="D38" s="18"/>
      <c r="E38" s="147"/>
    </row>
    <row r="39" spans="1:5" s="77" customFormat="1" ht="12" customHeight="1">
      <c r="A39" s="680" t="s">
        <v>1193</v>
      </c>
      <c r="B39" s="681"/>
      <c r="C39" s="42"/>
      <c r="D39" s="19">
        <f>D41+D68+D103</f>
        <v>1847800000</v>
      </c>
      <c r="E39" s="139"/>
    </row>
    <row r="40" spans="1:5" s="77" customFormat="1" ht="12" customHeight="1">
      <c r="A40" s="680"/>
      <c r="B40" s="78">
        <v>4210</v>
      </c>
      <c r="C40" s="92"/>
      <c r="D40" s="36"/>
      <c r="E40" s="138"/>
    </row>
    <row r="41" spans="1:5" s="77" customFormat="1" ht="12" customHeight="1">
      <c r="A41" s="680"/>
      <c r="B41" s="680" t="s">
        <v>1194</v>
      </c>
      <c r="C41" s="42"/>
      <c r="D41" s="19">
        <f>D43+D51+D55+D60+D63</f>
        <v>1218000000</v>
      </c>
      <c r="E41" s="139"/>
    </row>
    <row r="42" spans="1:5" s="77" customFormat="1" ht="12" customHeight="1">
      <c r="A42" s="679"/>
      <c r="B42" s="94"/>
      <c r="C42" s="132">
        <v>4211</v>
      </c>
      <c r="D42" s="101"/>
      <c r="E42" s="149"/>
    </row>
    <row r="43" spans="1:5" s="77" customFormat="1" ht="12" customHeight="1">
      <c r="A43" s="94"/>
      <c r="B43" s="94"/>
      <c r="C43" s="46" t="s">
        <v>1195</v>
      </c>
      <c r="D43" s="36">
        <f>D44+D45+D46+D47+D48+D49</f>
        <v>198000000</v>
      </c>
      <c r="E43" s="138"/>
    </row>
    <row r="44" spans="1:5" s="77" customFormat="1" ht="12" customHeight="1">
      <c r="A44" s="94"/>
      <c r="B44" s="94"/>
      <c r="C44" s="46"/>
      <c r="D44" s="36">
        <v>61500000</v>
      </c>
      <c r="E44" s="138" t="s">
        <v>1336</v>
      </c>
    </row>
    <row r="45" spans="1:5" s="77" customFormat="1" ht="12" customHeight="1">
      <c r="A45" s="94"/>
      <c r="B45" s="94"/>
      <c r="C45" s="46"/>
      <c r="D45" s="36">
        <v>17000000</v>
      </c>
      <c r="E45" s="138" t="s">
        <v>1337</v>
      </c>
    </row>
    <row r="46" spans="1:5" s="77" customFormat="1" ht="12" customHeight="1">
      <c r="A46" s="94"/>
      <c r="B46" s="94"/>
      <c r="C46" s="46"/>
      <c r="D46" s="36">
        <v>20000000</v>
      </c>
      <c r="E46" s="138" t="s">
        <v>1338</v>
      </c>
    </row>
    <row r="47" spans="1:5" s="77" customFormat="1" ht="12" customHeight="1">
      <c r="A47" s="94"/>
      <c r="B47" s="94"/>
      <c r="C47" s="46"/>
      <c r="D47" s="36">
        <v>92000000</v>
      </c>
      <c r="E47" s="138" t="s">
        <v>1339</v>
      </c>
    </row>
    <row r="48" spans="1:5" s="77" customFormat="1" ht="12" customHeight="1">
      <c r="A48" s="94"/>
      <c r="B48" s="94"/>
      <c r="C48" s="46"/>
      <c r="D48" s="36">
        <v>2000000</v>
      </c>
      <c r="E48" s="138" t="s">
        <v>1340</v>
      </c>
    </row>
    <row r="49" spans="1:5" s="77" customFormat="1" ht="12" customHeight="1">
      <c r="A49" s="94"/>
      <c r="B49" s="94"/>
      <c r="C49" s="46"/>
      <c r="D49" s="36">
        <v>5500000</v>
      </c>
      <c r="E49" s="138" t="s">
        <v>1341</v>
      </c>
    </row>
    <row r="50" spans="1:5" s="77" customFormat="1" ht="12" customHeight="1">
      <c r="A50" s="679"/>
      <c r="B50" s="94"/>
      <c r="C50" s="37">
        <v>4212</v>
      </c>
      <c r="D50" s="38"/>
      <c r="E50" s="148"/>
    </row>
    <row r="51" spans="1:5" s="77" customFormat="1" ht="12" customHeight="1">
      <c r="A51" s="94"/>
      <c r="B51" s="94"/>
      <c r="C51" s="46" t="s">
        <v>1196</v>
      </c>
      <c r="D51" s="36">
        <f>D52+D53</f>
        <v>6000000</v>
      </c>
      <c r="E51" s="138"/>
    </row>
    <row r="52" spans="1:5" s="77" customFormat="1" ht="12" customHeight="1">
      <c r="A52" s="94"/>
      <c r="B52" s="94"/>
      <c r="C52" s="46"/>
      <c r="D52" s="36">
        <v>3000000</v>
      </c>
      <c r="E52" s="138" t="s">
        <v>1342</v>
      </c>
    </row>
    <row r="53" spans="1:5" s="77" customFormat="1" ht="12" customHeight="1">
      <c r="A53" s="94"/>
      <c r="B53" s="94"/>
      <c r="C53" s="46"/>
      <c r="D53" s="36">
        <v>3000000</v>
      </c>
      <c r="E53" s="138" t="s">
        <v>1343</v>
      </c>
    </row>
    <row r="54" spans="1:5" s="77" customFormat="1" ht="12" customHeight="1">
      <c r="A54" s="679"/>
      <c r="B54" s="94"/>
      <c r="C54" s="37">
        <v>4215</v>
      </c>
      <c r="D54" s="38"/>
      <c r="E54" s="148"/>
    </row>
    <row r="55" spans="1:5" s="77" customFormat="1" ht="12" customHeight="1">
      <c r="A55" s="94"/>
      <c r="B55" s="94"/>
      <c r="C55" s="46" t="s">
        <v>1197</v>
      </c>
      <c r="D55" s="36">
        <f>D56+D57+D58</f>
        <v>436000000</v>
      </c>
      <c r="E55" s="138"/>
    </row>
    <row r="56" spans="1:5" s="77" customFormat="1" ht="12" customHeight="1">
      <c r="A56" s="94"/>
      <c r="B56" s="94"/>
      <c r="C56" s="46"/>
      <c r="D56" s="36">
        <v>260000000</v>
      </c>
      <c r="E56" s="138" t="s">
        <v>1344</v>
      </c>
    </row>
    <row r="57" spans="1:5" s="77" customFormat="1" ht="12" customHeight="1">
      <c r="A57" s="94"/>
      <c r="B57" s="94"/>
      <c r="C57" s="46"/>
      <c r="D57" s="36">
        <v>20000000</v>
      </c>
      <c r="E57" s="138" t="s">
        <v>1345</v>
      </c>
    </row>
    <row r="58" spans="1:5" s="77" customFormat="1" ht="12" customHeight="1">
      <c r="A58" s="94"/>
      <c r="B58" s="94"/>
      <c r="C58" s="46"/>
      <c r="D58" s="36">
        <v>156000000</v>
      </c>
      <c r="E58" s="138" t="s">
        <v>1346</v>
      </c>
    </row>
    <row r="59" spans="1:5" s="77" customFormat="1" ht="12" customHeight="1">
      <c r="A59" s="679"/>
      <c r="B59" s="679"/>
      <c r="C59" s="37">
        <v>4216</v>
      </c>
      <c r="D59" s="38"/>
      <c r="E59" s="148"/>
    </row>
    <row r="60" spans="1:5" s="77" customFormat="1" ht="12" customHeight="1">
      <c r="A60" s="94"/>
      <c r="B60" s="94"/>
      <c r="C60" s="46" t="s">
        <v>1198</v>
      </c>
      <c r="D60" s="36">
        <f>D61</f>
        <v>5000000</v>
      </c>
      <c r="E60" s="138"/>
    </row>
    <row r="61" spans="1:5" s="77" customFormat="1" ht="12" customHeight="1">
      <c r="A61" s="94"/>
      <c r="B61" s="94"/>
      <c r="C61" s="46"/>
      <c r="D61" s="36">
        <v>5000000</v>
      </c>
      <c r="E61" s="138" t="s">
        <v>1347</v>
      </c>
    </row>
    <row r="62" spans="1:5" s="77" customFormat="1" ht="12" customHeight="1">
      <c r="A62" s="679"/>
      <c r="B62" s="94"/>
      <c r="C62" s="37">
        <v>4217</v>
      </c>
      <c r="D62" s="38"/>
      <c r="E62" s="148"/>
    </row>
    <row r="63" spans="1:5" s="77" customFormat="1" ht="12" customHeight="1">
      <c r="A63" s="94"/>
      <c r="B63" s="94"/>
      <c r="C63" s="46" t="s">
        <v>1199</v>
      </c>
      <c r="D63" s="36">
        <f>D64+D65+D66</f>
        <v>573000000</v>
      </c>
      <c r="E63" s="138"/>
    </row>
    <row r="64" spans="1:5" s="77" customFormat="1" ht="12" customHeight="1">
      <c r="A64" s="94"/>
      <c r="B64" s="94"/>
      <c r="C64" s="46"/>
      <c r="D64" s="36">
        <v>568000000</v>
      </c>
      <c r="E64" s="138" t="s">
        <v>1348</v>
      </c>
    </row>
    <row r="65" spans="1:5" s="77" customFormat="1" ht="12" customHeight="1">
      <c r="A65" s="94"/>
      <c r="B65" s="94"/>
      <c r="C65" s="46"/>
      <c r="D65" s="36">
        <v>3000000</v>
      </c>
      <c r="E65" s="138" t="s">
        <v>1349</v>
      </c>
    </row>
    <row r="66" spans="1:5" s="77" customFormat="1" ht="12" customHeight="1">
      <c r="A66" s="94"/>
      <c r="B66" s="94"/>
      <c r="C66" s="46"/>
      <c r="D66" s="36">
        <v>2000000</v>
      </c>
      <c r="E66" s="138" t="s">
        <v>1350</v>
      </c>
    </row>
    <row r="67" spans="1:5" s="77" customFormat="1" ht="12" customHeight="1">
      <c r="A67" s="679"/>
      <c r="B67" s="678">
        <v>4220</v>
      </c>
      <c r="C67" s="37"/>
      <c r="D67" s="38"/>
      <c r="E67" s="148"/>
    </row>
    <row r="68" spans="1:5" s="77" customFormat="1" ht="12" customHeight="1">
      <c r="A68" s="94"/>
      <c r="B68" s="680" t="s">
        <v>1200</v>
      </c>
      <c r="C68" s="92"/>
      <c r="D68" s="36">
        <f>D70+D73+D80+D83+D87+D93+D97+D100</f>
        <v>607800000</v>
      </c>
      <c r="E68" s="138"/>
    </row>
    <row r="69" spans="1:5" s="77" customFormat="1" ht="12" customHeight="1">
      <c r="A69" s="679"/>
      <c r="B69" s="679"/>
      <c r="C69" s="43">
        <v>4221</v>
      </c>
      <c r="D69" s="38"/>
      <c r="E69" s="148"/>
    </row>
    <row r="70" spans="1:5" s="77" customFormat="1" ht="12" customHeight="1">
      <c r="A70" s="94"/>
      <c r="B70" s="94"/>
      <c r="C70" s="46" t="s">
        <v>1351</v>
      </c>
      <c r="D70" s="36">
        <v>3000000</v>
      </c>
      <c r="E70" s="138"/>
    </row>
    <row r="71" spans="1:5" s="77" customFormat="1" ht="12" customHeight="1">
      <c r="A71" s="789"/>
      <c r="B71" s="789"/>
      <c r="C71" s="771"/>
      <c r="D71" s="770">
        <v>3000000</v>
      </c>
      <c r="E71" s="798" t="s">
        <v>1352</v>
      </c>
    </row>
    <row r="72" spans="1:5" s="77" customFormat="1" ht="12" customHeight="1">
      <c r="A72" s="679"/>
      <c r="B72" s="679"/>
      <c r="C72" s="733">
        <v>4223</v>
      </c>
      <c r="D72" s="790"/>
      <c r="E72" s="804"/>
    </row>
    <row r="73" spans="1:5" s="77" customFormat="1" ht="12" customHeight="1">
      <c r="A73" s="94"/>
      <c r="B73" s="94"/>
      <c r="C73" s="46" t="s">
        <v>1202</v>
      </c>
      <c r="D73" s="36">
        <f>D74+D75+D76+D77+D78</f>
        <v>34300000</v>
      </c>
      <c r="E73" s="138"/>
    </row>
    <row r="74" spans="1:5" s="77" customFormat="1" ht="12" customHeight="1">
      <c r="A74" s="788"/>
      <c r="B74" s="788"/>
      <c r="C74" s="779"/>
      <c r="D74" s="772">
        <v>10000000</v>
      </c>
      <c r="E74" s="797" t="s">
        <v>1353</v>
      </c>
    </row>
    <row r="75" spans="1:5" s="77" customFormat="1" ht="12" customHeight="1">
      <c r="A75" s="788"/>
      <c r="B75" s="788"/>
      <c r="C75" s="779"/>
      <c r="D75" s="772">
        <v>4300000</v>
      </c>
      <c r="E75" s="797" t="s">
        <v>1354</v>
      </c>
    </row>
    <row r="76" spans="1:5" s="77" customFormat="1" ht="12" customHeight="1">
      <c r="A76" s="788"/>
      <c r="B76" s="788"/>
      <c r="C76" s="779"/>
      <c r="D76" s="772">
        <v>5000000</v>
      </c>
      <c r="E76" s="797" t="s">
        <v>1355</v>
      </c>
    </row>
    <row r="77" spans="1:5" s="77" customFormat="1" ht="12" customHeight="1">
      <c r="A77" s="788"/>
      <c r="B77" s="788"/>
      <c r="C77" s="779"/>
      <c r="D77" s="772">
        <v>3000000</v>
      </c>
      <c r="E77" s="797" t="s">
        <v>1356</v>
      </c>
    </row>
    <row r="78" spans="1:5" s="77" customFormat="1" ht="12" customHeight="1">
      <c r="A78" s="94"/>
      <c r="B78" s="94"/>
      <c r="C78" s="46"/>
      <c r="D78" s="36">
        <v>12000000</v>
      </c>
      <c r="E78" s="138" t="s">
        <v>1357</v>
      </c>
    </row>
    <row r="79" spans="1:5" s="77" customFormat="1" ht="12" customHeight="1">
      <c r="A79" s="679"/>
      <c r="B79" s="679"/>
      <c r="C79" s="37">
        <v>4224</v>
      </c>
      <c r="D79" s="38"/>
      <c r="E79" s="148"/>
    </row>
    <row r="80" spans="1:5" s="77" customFormat="1" ht="12" customHeight="1">
      <c r="A80" s="94"/>
      <c r="B80" s="94"/>
      <c r="C80" s="46" t="s">
        <v>1203</v>
      </c>
      <c r="D80" s="120">
        <f>D81</f>
        <v>5000000</v>
      </c>
      <c r="E80" s="138"/>
    </row>
    <row r="81" spans="1:5" s="77" customFormat="1" ht="12" customHeight="1">
      <c r="A81" s="94"/>
      <c r="B81" s="94"/>
      <c r="C81" s="46"/>
      <c r="D81" s="120">
        <v>5000000</v>
      </c>
      <c r="E81" s="154" t="s">
        <v>1358</v>
      </c>
    </row>
    <row r="82" spans="1:5" s="77" customFormat="1" ht="12" customHeight="1">
      <c r="A82" s="679"/>
      <c r="B82" s="679"/>
      <c r="C82" s="37">
        <v>4225</v>
      </c>
      <c r="D82" s="38"/>
      <c r="E82" s="512"/>
    </row>
    <row r="83" spans="1:5" s="77" customFormat="1" ht="12" customHeight="1">
      <c r="A83" s="94"/>
      <c r="B83" s="94"/>
      <c r="C83" s="46" t="s">
        <v>1359</v>
      </c>
      <c r="D83" s="36">
        <f>D84+D85</f>
        <v>285000000</v>
      </c>
      <c r="E83" s="138"/>
    </row>
    <row r="84" spans="1:5" s="77" customFormat="1" ht="12" customHeight="1">
      <c r="A84" s="94"/>
      <c r="B84" s="94"/>
      <c r="C84" s="46"/>
      <c r="D84" s="36">
        <v>255000000</v>
      </c>
      <c r="E84" s="154" t="s">
        <v>1360</v>
      </c>
    </row>
    <row r="85" spans="1:5" s="77" customFormat="1" ht="12" customHeight="1">
      <c r="A85" s="94"/>
      <c r="B85" s="94"/>
      <c r="C85" s="32"/>
      <c r="D85" s="19">
        <v>30000000</v>
      </c>
      <c r="E85" s="155" t="s">
        <v>1361</v>
      </c>
    </row>
    <row r="86" spans="1:5" s="77" customFormat="1" ht="12" customHeight="1">
      <c r="A86" s="679"/>
      <c r="B86" s="679"/>
      <c r="C86" s="35">
        <v>4226</v>
      </c>
      <c r="D86" s="101"/>
      <c r="E86" s="149"/>
    </row>
    <row r="87" spans="1:5" s="77" customFormat="1" ht="12" customHeight="1">
      <c r="A87" s="94"/>
      <c r="B87" s="94"/>
      <c r="C87" s="46" t="s">
        <v>1362</v>
      </c>
      <c r="D87" s="36">
        <f>D88+D89+D90+D91</f>
        <v>250000000</v>
      </c>
      <c r="E87" s="138"/>
    </row>
    <row r="88" spans="1:5" s="77" customFormat="1" ht="12" customHeight="1">
      <c r="A88" s="94"/>
      <c r="B88" s="94"/>
      <c r="C88" s="46"/>
      <c r="D88" s="36">
        <v>80000000</v>
      </c>
      <c r="E88" s="154" t="s">
        <v>1363</v>
      </c>
    </row>
    <row r="89" spans="1:5" s="77" customFormat="1" ht="12" customHeight="1">
      <c r="A89" s="94"/>
      <c r="B89" s="94"/>
      <c r="C89" s="46"/>
      <c r="D89" s="36">
        <v>15000000</v>
      </c>
      <c r="E89" s="154" t="s">
        <v>1364</v>
      </c>
    </row>
    <row r="90" spans="1:5" s="77" customFormat="1" ht="12" customHeight="1">
      <c r="A90" s="94"/>
      <c r="B90" s="94"/>
      <c r="C90" s="46"/>
      <c r="D90" s="36">
        <v>120000000</v>
      </c>
      <c r="E90" s="154" t="s">
        <v>1365</v>
      </c>
    </row>
    <row r="91" spans="1:5" s="77" customFormat="1" ht="12" customHeight="1">
      <c r="A91" s="94"/>
      <c r="B91" s="94"/>
      <c r="C91" s="46"/>
      <c r="D91" s="36">
        <v>35000000</v>
      </c>
      <c r="E91" s="154" t="s">
        <v>1366</v>
      </c>
    </row>
    <row r="92" spans="1:5" s="77" customFormat="1" ht="12" customHeight="1">
      <c r="A92" s="679"/>
      <c r="B92" s="679"/>
      <c r="C92" s="37">
        <v>4227</v>
      </c>
      <c r="D92" s="38"/>
      <c r="E92" s="148"/>
    </row>
    <row r="93" spans="1:5" s="77" customFormat="1" ht="12" customHeight="1">
      <c r="A93" s="94"/>
      <c r="B93" s="94"/>
      <c r="C93" s="46" t="s">
        <v>1367</v>
      </c>
      <c r="D93" s="36">
        <f>D94+D95</f>
        <v>27000000</v>
      </c>
      <c r="E93" s="138"/>
    </row>
    <row r="94" spans="1:5" s="77" customFormat="1" ht="12" customHeight="1">
      <c r="A94" s="94"/>
      <c r="B94" s="94"/>
      <c r="C94" s="46"/>
      <c r="D94" s="156">
        <v>25000000</v>
      </c>
      <c r="E94" s="154" t="s">
        <v>1368</v>
      </c>
    </row>
    <row r="95" spans="1:5" s="77" customFormat="1" ht="12" customHeight="1">
      <c r="A95" s="94"/>
      <c r="B95" s="94"/>
      <c r="C95" s="46"/>
      <c r="D95" s="156">
        <v>2000000</v>
      </c>
      <c r="E95" s="154" t="s">
        <v>1369</v>
      </c>
    </row>
    <row r="96" spans="1:5" s="77" customFormat="1" ht="12" customHeight="1">
      <c r="A96" s="679"/>
      <c r="B96" s="679"/>
      <c r="C96" s="37">
        <v>4228</v>
      </c>
      <c r="D96" s="38"/>
      <c r="E96" s="148"/>
    </row>
    <row r="97" spans="1:5" s="77" customFormat="1" ht="12" customHeight="1">
      <c r="A97" s="94"/>
      <c r="B97" s="94"/>
      <c r="C97" s="46" t="s">
        <v>1370</v>
      </c>
      <c r="D97" s="36">
        <v>3000000</v>
      </c>
      <c r="E97" s="138"/>
    </row>
    <row r="98" spans="1:5" s="77" customFormat="1" ht="12" customHeight="1">
      <c r="A98" s="94"/>
      <c r="B98" s="94"/>
      <c r="C98" s="46"/>
      <c r="D98" s="36">
        <v>3000000</v>
      </c>
      <c r="E98" s="154" t="s">
        <v>1371</v>
      </c>
    </row>
    <row r="99" spans="1:5" s="77" customFormat="1" ht="12" customHeight="1">
      <c r="A99" s="679"/>
      <c r="B99" s="679"/>
      <c r="C99" s="37">
        <v>4229</v>
      </c>
      <c r="D99" s="38"/>
      <c r="E99" s="148"/>
    </row>
    <row r="100" spans="1:5" s="77" customFormat="1" ht="12" customHeight="1">
      <c r="A100" s="94"/>
      <c r="B100" s="94"/>
      <c r="C100" s="46" t="s">
        <v>1208</v>
      </c>
      <c r="D100" s="198">
        <v>500000</v>
      </c>
      <c r="E100" s="138"/>
    </row>
    <row r="101" spans="1:5" s="77" customFormat="1" ht="12" customHeight="1">
      <c r="A101" s="94"/>
      <c r="B101" s="94"/>
      <c r="C101" s="46"/>
      <c r="D101" s="120">
        <v>500000</v>
      </c>
      <c r="E101" s="154" t="s">
        <v>1372</v>
      </c>
    </row>
    <row r="102" spans="1:5" s="77" customFormat="1" ht="12" customHeight="1">
      <c r="A102" s="679"/>
      <c r="B102" s="678">
        <v>4230</v>
      </c>
      <c r="C102" s="37"/>
      <c r="D102" s="38"/>
      <c r="E102" s="148"/>
    </row>
    <row r="103" spans="1:5" s="77" customFormat="1" ht="12" customHeight="1">
      <c r="A103" s="94"/>
      <c r="B103" s="680" t="s">
        <v>1209</v>
      </c>
      <c r="C103" s="42"/>
      <c r="D103" s="19">
        <f>D105+D108+D112+D115+D118</f>
        <v>22000000</v>
      </c>
      <c r="E103" s="139"/>
    </row>
    <row r="104" spans="1:5" s="77" customFormat="1" ht="12" customHeight="1">
      <c r="A104" s="679"/>
      <c r="B104" s="94"/>
      <c r="C104" s="43">
        <v>4231</v>
      </c>
      <c r="D104" s="38"/>
      <c r="E104" s="148"/>
    </row>
    <row r="105" spans="1:5" s="77" customFormat="1" ht="12" customHeight="1">
      <c r="A105" s="94"/>
      <c r="B105" s="94"/>
      <c r="C105" s="46" t="s">
        <v>1210</v>
      </c>
      <c r="D105" s="36">
        <f>D106</f>
        <v>10000000</v>
      </c>
      <c r="E105" s="138"/>
    </row>
    <row r="106" spans="1:5" s="77" customFormat="1" ht="12" customHeight="1">
      <c r="A106" s="94"/>
      <c r="B106" s="94"/>
      <c r="C106" s="46"/>
      <c r="D106" s="36">
        <v>10000000</v>
      </c>
      <c r="E106" s="138" t="s">
        <v>1373</v>
      </c>
    </row>
    <row r="107" spans="1:5" s="77" customFormat="1" ht="12" customHeight="1">
      <c r="A107" s="789"/>
      <c r="B107" s="789"/>
      <c r="C107" s="56">
        <v>4234</v>
      </c>
      <c r="D107" s="98"/>
      <c r="E107" s="172"/>
    </row>
    <row r="108" spans="1:5" s="77" customFormat="1" ht="12" customHeight="1">
      <c r="A108" s="94"/>
      <c r="B108" s="94"/>
      <c r="C108" s="46" t="s">
        <v>1211</v>
      </c>
      <c r="D108" s="36">
        <f>D109+D110</f>
        <v>6000000</v>
      </c>
      <c r="E108" s="138"/>
    </row>
    <row r="109" spans="1:5" s="77" customFormat="1" ht="12" customHeight="1">
      <c r="A109" s="94"/>
      <c r="B109" s="94"/>
      <c r="C109" s="46"/>
      <c r="D109" s="36">
        <v>4000000</v>
      </c>
      <c r="E109" s="138" t="s">
        <v>1374</v>
      </c>
    </row>
    <row r="110" spans="1:5" s="77" customFormat="1" ht="12" customHeight="1">
      <c r="A110" s="94"/>
      <c r="B110" s="94"/>
      <c r="C110" s="46"/>
      <c r="D110" s="36">
        <v>2000000</v>
      </c>
      <c r="E110" s="138" t="s">
        <v>1375</v>
      </c>
    </row>
    <row r="111" spans="1:5" s="77" customFormat="1" ht="12" customHeight="1">
      <c r="A111" s="94"/>
      <c r="B111" s="94"/>
      <c r="C111" s="37">
        <v>4235</v>
      </c>
      <c r="D111" s="38"/>
      <c r="E111" s="148"/>
    </row>
    <row r="112" spans="1:5" s="77" customFormat="1" ht="12" customHeight="1">
      <c r="A112" s="94"/>
      <c r="B112" s="94"/>
      <c r="C112" s="46" t="s">
        <v>1212</v>
      </c>
      <c r="D112" s="36">
        <f>D113</f>
        <v>0</v>
      </c>
      <c r="E112" s="138"/>
    </row>
    <row r="113" spans="1:5" s="77" customFormat="1" ht="12" customHeight="1">
      <c r="A113" s="788"/>
      <c r="B113" s="788"/>
      <c r="C113" s="32"/>
      <c r="D113" s="19">
        <v>0</v>
      </c>
      <c r="E113" s="139" t="s">
        <v>1376</v>
      </c>
    </row>
    <row r="114" spans="1:5" s="77" customFormat="1" ht="12" customHeight="1">
      <c r="A114" s="788"/>
      <c r="B114" s="788"/>
      <c r="C114" s="773">
        <v>4236</v>
      </c>
      <c r="D114" s="774"/>
      <c r="E114" s="803"/>
    </row>
    <row r="115" spans="1:5" s="77" customFormat="1" ht="12" customHeight="1">
      <c r="A115" s="788"/>
      <c r="B115" s="788"/>
      <c r="C115" s="779" t="s">
        <v>1213</v>
      </c>
      <c r="D115" s="772">
        <f>D116</f>
        <v>2000000</v>
      </c>
      <c r="E115" s="797"/>
    </row>
    <row r="116" spans="1:5" s="77" customFormat="1" ht="12" customHeight="1">
      <c r="A116" s="788"/>
      <c r="B116" s="788"/>
      <c r="C116" s="771"/>
      <c r="D116" s="770">
        <v>2000000</v>
      </c>
      <c r="E116" s="798" t="s">
        <v>1377</v>
      </c>
    </row>
    <row r="117" spans="1:5" s="77" customFormat="1" ht="12" customHeight="1">
      <c r="A117" s="94"/>
      <c r="B117" s="94"/>
      <c r="C117" s="37">
        <v>4239</v>
      </c>
      <c r="D117" s="38"/>
      <c r="E117" s="148"/>
    </row>
    <row r="118" spans="1:5" s="77" customFormat="1" ht="12" customHeight="1">
      <c r="A118" s="94"/>
      <c r="B118" s="94"/>
      <c r="C118" s="46" t="s">
        <v>1214</v>
      </c>
      <c r="D118" s="36">
        <v>4000000</v>
      </c>
      <c r="E118" s="138"/>
    </row>
    <row r="119" spans="1:5" s="77" customFormat="1" ht="12" customHeight="1">
      <c r="A119" s="94"/>
      <c r="B119" s="94"/>
      <c r="C119" s="46"/>
      <c r="D119" s="36">
        <v>4000000</v>
      </c>
      <c r="E119" s="138" t="s">
        <v>1378</v>
      </c>
    </row>
    <row r="120" spans="1:5" s="77" customFormat="1" ht="12" customHeight="1">
      <c r="A120" s="678">
        <v>4300</v>
      </c>
      <c r="B120" s="678"/>
      <c r="C120" s="37"/>
      <c r="D120" s="38"/>
      <c r="E120" s="148"/>
    </row>
    <row r="121" spans="1:5" s="77" customFormat="1" ht="12" customHeight="1">
      <c r="A121" s="680" t="s">
        <v>1215</v>
      </c>
      <c r="B121" s="681"/>
      <c r="C121" s="32"/>
      <c r="D121" s="19">
        <f>D123</f>
        <v>30000000</v>
      </c>
      <c r="E121" s="139"/>
    </row>
    <row r="122" spans="1:5" s="77" customFormat="1" ht="12" customHeight="1">
      <c r="A122" s="94"/>
      <c r="B122" s="78">
        <v>4320</v>
      </c>
      <c r="C122" s="37"/>
      <c r="D122" s="38"/>
      <c r="E122" s="148"/>
    </row>
    <row r="123" spans="1:5" s="77" customFormat="1" ht="12" customHeight="1">
      <c r="A123" s="94"/>
      <c r="B123" s="680" t="s">
        <v>1216</v>
      </c>
      <c r="C123" s="32"/>
      <c r="D123" s="19">
        <f>D125+D129</f>
        <v>30000000</v>
      </c>
      <c r="E123" s="139"/>
    </row>
    <row r="124" spans="1:5" s="77" customFormat="1" ht="12" customHeight="1">
      <c r="A124" s="94"/>
      <c r="B124" s="94"/>
      <c r="C124" s="37">
        <v>4325</v>
      </c>
      <c r="D124" s="38"/>
      <c r="E124" s="148"/>
    </row>
    <row r="125" spans="1:5" s="77" customFormat="1" ht="12" customHeight="1">
      <c r="A125" s="94"/>
      <c r="B125" s="94"/>
      <c r="C125" s="46" t="s">
        <v>1217</v>
      </c>
      <c r="D125" s="36">
        <v>10000000</v>
      </c>
      <c r="E125" s="138"/>
    </row>
    <row r="126" spans="1:5" s="77" customFormat="1" ht="12" customHeight="1">
      <c r="A126" s="94"/>
      <c r="B126" s="94"/>
      <c r="C126" s="46"/>
      <c r="D126" s="36">
        <v>10000000</v>
      </c>
      <c r="E126" s="138" t="s">
        <v>1379</v>
      </c>
    </row>
    <row r="127" spans="1:5" s="77" customFormat="1" ht="12" customHeight="1">
      <c r="A127" s="679"/>
      <c r="B127" s="679"/>
      <c r="C127" s="37">
        <v>4329</v>
      </c>
      <c r="D127" s="38"/>
      <c r="E127" s="148"/>
    </row>
    <row r="128" spans="1:5" s="77" customFormat="1" ht="12" customHeight="1">
      <c r="A128" s="94"/>
      <c r="B128" s="94"/>
      <c r="C128" s="46" t="s">
        <v>1218</v>
      </c>
      <c r="D128" s="36">
        <v>17000000</v>
      </c>
      <c r="E128" s="138"/>
    </row>
    <row r="129" spans="1:5" s="77" customFormat="1" ht="12" customHeight="1">
      <c r="A129" s="94"/>
      <c r="B129" s="94"/>
      <c r="C129" s="46"/>
      <c r="D129" s="36">
        <v>20000000</v>
      </c>
      <c r="E129" s="138" t="s">
        <v>1380</v>
      </c>
    </row>
    <row r="130" spans="1:5" s="77" customFormat="1" ht="12" customHeight="1">
      <c r="A130" s="678">
        <v>4400</v>
      </c>
      <c r="B130" s="678"/>
      <c r="C130" s="37"/>
      <c r="D130" s="107"/>
      <c r="E130" s="151"/>
    </row>
    <row r="131" spans="1:5" s="77" customFormat="1" ht="12" customHeight="1">
      <c r="A131" s="680" t="s">
        <v>1219</v>
      </c>
      <c r="B131" s="680"/>
      <c r="C131" s="32"/>
      <c r="D131" s="51">
        <f>D133</f>
        <v>2000000</v>
      </c>
      <c r="E131" s="150"/>
    </row>
    <row r="132" spans="1:5" s="77" customFormat="1" ht="12" customHeight="1">
      <c r="A132" s="94"/>
      <c r="B132" s="678">
        <v>4420</v>
      </c>
      <c r="C132" s="37"/>
      <c r="D132" s="107"/>
      <c r="E132" s="151"/>
    </row>
    <row r="133" spans="1:5" s="77" customFormat="1" ht="12" customHeight="1">
      <c r="A133" s="94"/>
      <c r="B133" s="680" t="s">
        <v>1220</v>
      </c>
      <c r="C133" s="42"/>
      <c r="D133" s="19">
        <f>D135</f>
        <v>2000000</v>
      </c>
      <c r="E133" s="139"/>
    </row>
    <row r="134" spans="1:5" s="77" customFormat="1" ht="12" customHeight="1">
      <c r="A134" s="94"/>
      <c r="B134" s="94"/>
      <c r="C134" s="43">
        <v>4421</v>
      </c>
      <c r="D134" s="38"/>
      <c r="E134" s="148"/>
    </row>
    <row r="135" spans="1:5" s="77" customFormat="1" ht="12" customHeight="1">
      <c r="A135" s="94"/>
      <c r="B135" s="94"/>
      <c r="C135" s="46" t="s">
        <v>1221</v>
      </c>
      <c r="D135" s="36">
        <v>2000000</v>
      </c>
      <c r="E135" s="138"/>
    </row>
    <row r="136" spans="1:5" s="77" customFormat="1" ht="12" customHeight="1">
      <c r="A136" s="97"/>
      <c r="B136" s="97"/>
      <c r="C136" s="32"/>
      <c r="D136" s="19">
        <v>2000000</v>
      </c>
      <c r="E136" s="139" t="s">
        <v>1381</v>
      </c>
    </row>
    <row r="137" spans="1:5" s="77" customFormat="1" ht="12" customHeight="1">
      <c r="A137" s="678">
        <v>4500</v>
      </c>
      <c r="B137" s="678"/>
      <c r="C137" s="37"/>
      <c r="D137" s="107"/>
      <c r="E137" s="151"/>
    </row>
    <row r="138" spans="1:5" s="77" customFormat="1" ht="12" customHeight="1">
      <c r="A138" s="680" t="s">
        <v>1222</v>
      </c>
      <c r="B138" s="676"/>
      <c r="C138" s="32"/>
      <c r="D138" s="51">
        <f>D140</f>
        <v>673621140</v>
      </c>
      <c r="E138" s="150"/>
    </row>
    <row r="139" spans="1:5" s="77" customFormat="1" ht="12" customHeight="1">
      <c r="A139" s="94"/>
      <c r="B139" s="678">
        <v>4510</v>
      </c>
      <c r="C139" s="37"/>
      <c r="D139" s="107"/>
      <c r="E139" s="151"/>
    </row>
    <row r="140" spans="1:5" s="77" customFormat="1" ht="12" customHeight="1">
      <c r="A140" s="94"/>
      <c r="B140" s="680" t="s">
        <v>1223</v>
      </c>
      <c r="C140" s="32"/>
      <c r="D140" s="51">
        <f>D142</f>
        <v>673621140</v>
      </c>
      <c r="E140" s="150"/>
    </row>
    <row r="141" spans="1:5" s="77" customFormat="1" ht="12" customHeight="1">
      <c r="A141" s="94"/>
      <c r="B141" s="94"/>
      <c r="C141" s="37">
        <v>4516</v>
      </c>
      <c r="D141" s="107"/>
      <c r="E141" s="151"/>
    </row>
    <row r="142" spans="1:5" s="77" customFormat="1" ht="12" customHeight="1">
      <c r="A142" s="94"/>
      <c r="B142" s="94"/>
      <c r="C142" s="46" t="s">
        <v>1382</v>
      </c>
      <c r="D142" s="88">
        <f>D143+D144</f>
        <v>673621140</v>
      </c>
      <c r="E142" s="146"/>
    </row>
    <row r="143" spans="1:5" s="77" customFormat="1" ht="12" customHeight="1">
      <c r="A143" s="789"/>
      <c r="B143" s="789"/>
      <c r="C143" s="771"/>
      <c r="D143" s="781">
        <v>473621140</v>
      </c>
      <c r="E143" s="805" t="s">
        <v>1383</v>
      </c>
    </row>
    <row r="144" spans="1:5" s="77" customFormat="1" ht="12" customHeight="1">
      <c r="A144" s="97"/>
      <c r="B144" s="97"/>
      <c r="C144" s="32"/>
      <c r="D144" s="51">
        <v>200000000</v>
      </c>
      <c r="E144" s="150" t="s">
        <v>1384</v>
      </c>
    </row>
    <row r="145" spans="1:5" s="77" customFormat="1" ht="12" customHeight="1">
      <c r="A145" s="678">
        <v>4600</v>
      </c>
      <c r="B145" s="678"/>
      <c r="C145" s="37"/>
      <c r="D145" s="107"/>
      <c r="E145" s="151"/>
    </row>
    <row r="146" spans="1:5" s="77" customFormat="1" ht="12" customHeight="1">
      <c r="A146" s="680" t="s">
        <v>1385</v>
      </c>
      <c r="B146" s="680"/>
      <c r="C146" s="32"/>
      <c r="D146" s="51">
        <f>D148</f>
        <v>2974099</v>
      </c>
      <c r="E146" s="150"/>
    </row>
    <row r="147" spans="1:5" s="77" customFormat="1" ht="12" customHeight="1">
      <c r="A147" s="94"/>
      <c r="B147" s="678">
        <v>4610</v>
      </c>
      <c r="C147" s="37"/>
      <c r="D147" s="107"/>
      <c r="E147" s="151"/>
    </row>
    <row r="148" spans="1:5" s="77" customFormat="1" ht="12" customHeight="1">
      <c r="A148" s="94"/>
      <c r="B148" s="680" t="s">
        <v>1385</v>
      </c>
      <c r="C148" s="42"/>
      <c r="D148" s="19">
        <f>D150</f>
        <v>2974099</v>
      </c>
      <c r="E148" s="139"/>
    </row>
    <row r="149" spans="1:5" s="77" customFormat="1" ht="12" customHeight="1">
      <c r="A149" s="94"/>
      <c r="B149" s="94"/>
      <c r="C149" s="43">
        <v>4611</v>
      </c>
      <c r="D149" s="38"/>
      <c r="E149" s="148"/>
    </row>
    <row r="150" spans="1:5" s="77" customFormat="1" ht="12" customHeight="1">
      <c r="A150" s="94"/>
      <c r="B150" s="94"/>
      <c r="C150" s="680" t="s">
        <v>1385</v>
      </c>
      <c r="D150" s="36">
        <f>D151</f>
        <v>2974099</v>
      </c>
      <c r="E150" s="138"/>
    </row>
    <row r="151" spans="1:5" s="77" customFormat="1" ht="12" customHeight="1">
      <c r="A151" s="97"/>
      <c r="B151" s="97"/>
      <c r="C151" s="32"/>
      <c r="D151" s="19">
        <v>2974099</v>
      </c>
      <c r="E151" s="139"/>
    </row>
    <row r="152" spans="1:5" s="77" customFormat="1" ht="12" customHeight="1">
      <c r="A152" s="811">
        <v>1200</v>
      </c>
      <c r="B152" s="821"/>
      <c r="C152" s="775"/>
      <c r="D152" s="780"/>
      <c r="E152" s="807"/>
    </row>
    <row r="153" spans="1:5" s="77" customFormat="1" ht="12" customHeight="1">
      <c r="A153" s="788" t="s">
        <v>1386</v>
      </c>
      <c r="B153" s="788"/>
      <c r="C153" s="779"/>
      <c r="D153" s="786">
        <f>D155</f>
        <v>58291930</v>
      </c>
      <c r="E153" s="801"/>
    </row>
    <row r="154" spans="1:5" s="77" customFormat="1" ht="12" customHeight="1">
      <c r="A154" s="94"/>
      <c r="B154" s="678">
        <v>1260</v>
      </c>
      <c r="C154" s="40"/>
      <c r="D154" s="50"/>
      <c r="E154" s="152"/>
    </row>
    <row r="155" spans="1:5" s="77" customFormat="1" ht="12" customHeight="1">
      <c r="A155" s="94"/>
      <c r="B155" s="94" t="s">
        <v>1387</v>
      </c>
      <c r="C155" s="46"/>
      <c r="D155" s="88">
        <f>D157+D160</f>
        <v>58291930</v>
      </c>
      <c r="E155" s="146"/>
    </row>
    <row r="156" spans="1:5" s="77" customFormat="1" ht="12" customHeight="1">
      <c r="A156" s="94"/>
      <c r="B156" s="94"/>
      <c r="C156" s="37">
        <v>1263</v>
      </c>
      <c r="D156" s="50"/>
      <c r="E156" s="152"/>
    </row>
    <row r="157" spans="1:5" s="77" customFormat="1" ht="12" customHeight="1">
      <c r="A157" s="94"/>
      <c r="B157" s="94"/>
      <c r="C157" s="46" t="s">
        <v>1388</v>
      </c>
      <c r="D157" s="88">
        <f>D158</f>
        <v>17754230</v>
      </c>
      <c r="E157" s="146"/>
    </row>
    <row r="158" spans="1:5" s="77" customFormat="1" ht="12" customHeight="1">
      <c r="A158" s="94"/>
      <c r="B158" s="94"/>
      <c r="C158" s="32"/>
      <c r="D158" s="51">
        <v>17754230</v>
      </c>
      <c r="E158" s="150" t="s">
        <v>1389</v>
      </c>
    </row>
    <row r="159" spans="1:5" s="77" customFormat="1" ht="12" customHeight="1">
      <c r="A159" s="94"/>
      <c r="B159" s="94"/>
      <c r="C159" s="35">
        <v>1266</v>
      </c>
      <c r="D159" s="88"/>
      <c r="E159" s="146"/>
    </row>
    <row r="160" spans="1:5" s="77" customFormat="1" ht="12" customHeight="1">
      <c r="A160" s="94"/>
      <c r="B160" s="94"/>
      <c r="C160" s="46" t="s">
        <v>1390</v>
      </c>
      <c r="D160" s="88">
        <f>D161</f>
        <v>40537700</v>
      </c>
      <c r="E160" s="146"/>
    </row>
    <row r="161" spans="1:5" s="77" customFormat="1" ht="12" customHeight="1">
      <c r="A161" s="97"/>
      <c r="B161" s="97"/>
      <c r="C161" s="32"/>
      <c r="D161" s="51">
        <v>40537700</v>
      </c>
      <c r="E161" s="150" t="s">
        <v>1389</v>
      </c>
    </row>
    <row r="162" spans="1:5" s="77" customFormat="1" ht="12" customHeight="1">
      <c r="A162" s="678">
        <v>1300</v>
      </c>
      <c r="B162" s="678"/>
      <c r="C162" s="37"/>
      <c r="D162" s="45"/>
      <c r="E162" s="153"/>
    </row>
    <row r="163" spans="1:5" s="77" customFormat="1" ht="20.25" customHeight="1">
      <c r="A163" s="680" t="s">
        <v>1391</v>
      </c>
      <c r="B163" s="676"/>
      <c r="C163" s="32"/>
      <c r="D163" s="19">
        <f>D165</f>
        <v>16000000</v>
      </c>
      <c r="E163" s="139"/>
    </row>
    <row r="164" spans="1:5" s="77" customFormat="1" ht="12">
      <c r="A164" s="679"/>
      <c r="B164" s="679">
        <v>1310</v>
      </c>
      <c r="C164" s="37"/>
      <c r="D164" s="38"/>
      <c r="E164" s="148"/>
    </row>
    <row r="165" spans="1:5" s="77" customFormat="1" ht="24">
      <c r="A165" s="677"/>
      <c r="B165" s="680" t="s">
        <v>1392</v>
      </c>
      <c r="C165" s="32"/>
      <c r="D165" s="19">
        <f>D168+D171</f>
        <v>16000000</v>
      </c>
      <c r="E165" s="139"/>
    </row>
    <row r="166" spans="1:5" s="77" customFormat="1" ht="12">
      <c r="A166" s="87"/>
      <c r="B166" s="679"/>
      <c r="C166" s="37">
        <v>1314</v>
      </c>
      <c r="D166" s="38"/>
      <c r="E166" s="148"/>
    </row>
    <row r="167" spans="1:5" s="77" customFormat="1" ht="12">
      <c r="A167" s="113"/>
      <c r="B167" s="94"/>
      <c r="C167" s="46" t="s">
        <v>1393</v>
      </c>
      <c r="D167" s="36">
        <f>D168</f>
        <v>8000000</v>
      </c>
      <c r="E167" s="138"/>
    </row>
    <row r="168" spans="1:5" s="77" customFormat="1" ht="12">
      <c r="A168" s="113"/>
      <c r="B168" s="94"/>
      <c r="C168" s="46"/>
      <c r="D168" s="36">
        <v>8000000</v>
      </c>
      <c r="E168" s="138" t="s">
        <v>1394</v>
      </c>
    </row>
    <row r="169" spans="1:5" s="77" customFormat="1" ht="12">
      <c r="A169" s="87"/>
      <c r="B169" s="679" t="s">
        <v>1755</v>
      </c>
      <c r="C169" s="37">
        <v>1315</v>
      </c>
      <c r="D169" s="38"/>
      <c r="E169" s="148"/>
    </row>
    <row r="170" spans="1:5" s="77" customFormat="1" ht="12">
      <c r="A170" s="113"/>
      <c r="B170" s="94"/>
      <c r="C170" s="46" t="s">
        <v>1395</v>
      </c>
      <c r="D170" s="36">
        <f>D171</f>
        <v>8000000</v>
      </c>
      <c r="E170" s="138"/>
    </row>
    <row r="171" spans="1:5" s="77" customFormat="1" ht="12">
      <c r="A171" s="113"/>
      <c r="B171" s="94"/>
      <c r="C171" s="32"/>
      <c r="D171" s="19">
        <v>8000000</v>
      </c>
      <c r="E171" s="139" t="s">
        <v>1394</v>
      </c>
    </row>
    <row r="172" spans="1:5" s="77" customFormat="1" ht="24.75" customHeight="1">
      <c r="A172" s="1190" t="s">
        <v>1396</v>
      </c>
      <c r="B172" s="1190"/>
      <c r="C172" s="1190"/>
      <c r="D172" s="171">
        <f>D163+D153+D146+D138+D131+D121+D39+D7</f>
        <v>3065595169</v>
      </c>
      <c r="E172" s="170"/>
    </row>
  </sheetData>
  <mergeCells count="7">
    <mergeCell ref="A172:C172"/>
    <mergeCell ref="A4:C4"/>
    <mergeCell ref="D4:D5"/>
    <mergeCell ref="E4:E5"/>
    <mergeCell ref="A1:E1"/>
    <mergeCell ref="A2:E2"/>
    <mergeCell ref="A3:E3"/>
  </mergeCells>
  <printOptions/>
  <pageMargins left="0.5905511811023623" right="0.5511811023622047" top="0.7480314960629921" bottom="0.7480314960629921" header="0.31496062992125984" footer="0.31496062992125984"/>
  <pageSetup horizontalDpi="600" verticalDpi="600" orientation="landscape" paperSize="9" r:id="rId2"/>
  <headerFooter>
    <oddHeader>&amp;L&amp;10&lt;별지제2호서식&gt;</oddHeader>
    <oddFooter>&amp;C&amp;P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6"/>
  <sheetViews>
    <sheetView workbookViewId="0" topLeftCell="A1">
      <selection activeCell="O17" sqref="O17"/>
    </sheetView>
  </sheetViews>
  <sheetFormatPr defaultColWidth="9.00390625" defaultRowHeight="14.25"/>
  <sheetData>
    <row r="9" spans="1:13" ht="61.5">
      <c r="A9" s="1208" t="s">
        <v>941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</row>
    <row r="10" spans="1:13" ht="14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4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4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14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ht="14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4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4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14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4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 ht="14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 ht="14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14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4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35.25">
      <c r="A23" s="1209"/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</row>
    <row r="24" spans="1:13" ht="14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4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4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</sheetData>
  <mergeCells count="2">
    <mergeCell ref="A9:M9"/>
    <mergeCell ref="A23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6"/>
  <sheetViews>
    <sheetView workbookViewId="0" topLeftCell="A1">
      <selection activeCell="A10" sqref="A10"/>
    </sheetView>
  </sheetViews>
  <sheetFormatPr defaultColWidth="9.00390625" defaultRowHeight="14.25"/>
  <sheetData>
    <row r="9" spans="1:13" ht="61.5">
      <c r="A9" s="1208" t="s">
        <v>944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</row>
    <row r="10" spans="1:13" ht="14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4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4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14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ht="14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4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4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14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4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 ht="14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 ht="14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14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4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35.25">
      <c r="A23" s="1209" t="s">
        <v>333</v>
      </c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</row>
    <row r="24" spans="1:13" ht="14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4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4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</sheetData>
  <mergeCells count="2">
    <mergeCell ref="A9:M9"/>
    <mergeCell ref="A23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I22" sqref="I22"/>
    </sheetView>
  </sheetViews>
  <sheetFormatPr defaultColWidth="9.25390625" defaultRowHeight="27" customHeight="1"/>
  <cols>
    <col min="1" max="1" width="15.375" style="69" customWidth="1"/>
    <col min="2" max="2" width="15.25390625" style="10" customWidth="1"/>
    <col min="3" max="3" width="16.25390625" style="10" customWidth="1"/>
    <col min="4" max="5" width="20.50390625" style="10" customWidth="1"/>
    <col min="6" max="6" width="19.25390625" style="10" customWidth="1"/>
    <col min="7" max="7" width="15.00390625" style="10" customWidth="1"/>
    <col min="8" max="256" width="9.25390625" style="10" customWidth="1"/>
    <col min="257" max="257" width="21.75390625" style="10" customWidth="1"/>
    <col min="258" max="258" width="20.625" style="10" customWidth="1"/>
    <col min="259" max="259" width="20.25390625" style="10" customWidth="1"/>
    <col min="260" max="261" width="20.50390625" style="10" customWidth="1"/>
    <col min="262" max="262" width="19.25390625" style="10" customWidth="1"/>
    <col min="263" max="263" width="15.00390625" style="10" customWidth="1"/>
    <col min="264" max="512" width="9.25390625" style="10" customWidth="1"/>
    <col min="513" max="513" width="21.75390625" style="10" customWidth="1"/>
    <col min="514" max="514" width="20.625" style="10" customWidth="1"/>
    <col min="515" max="515" width="20.25390625" style="10" customWidth="1"/>
    <col min="516" max="517" width="20.50390625" style="10" customWidth="1"/>
    <col min="518" max="518" width="19.25390625" style="10" customWidth="1"/>
    <col min="519" max="519" width="15.00390625" style="10" customWidth="1"/>
    <col min="520" max="768" width="9.25390625" style="10" customWidth="1"/>
    <col min="769" max="769" width="21.75390625" style="10" customWidth="1"/>
    <col min="770" max="770" width="20.625" style="10" customWidth="1"/>
    <col min="771" max="771" width="20.25390625" style="10" customWidth="1"/>
    <col min="772" max="773" width="20.50390625" style="10" customWidth="1"/>
    <col min="774" max="774" width="19.25390625" style="10" customWidth="1"/>
    <col min="775" max="775" width="15.00390625" style="10" customWidth="1"/>
    <col min="776" max="1024" width="9.25390625" style="10" customWidth="1"/>
    <col min="1025" max="1025" width="21.75390625" style="10" customWidth="1"/>
    <col min="1026" max="1026" width="20.625" style="10" customWidth="1"/>
    <col min="1027" max="1027" width="20.25390625" style="10" customWidth="1"/>
    <col min="1028" max="1029" width="20.50390625" style="10" customWidth="1"/>
    <col min="1030" max="1030" width="19.25390625" style="10" customWidth="1"/>
    <col min="1031" max="1031" width="15.00390625" style="10" customWidth="1"/>
    <col min="1032" max="1280" width="9.25390625" style="10" customWidth="1"/>
    <col min="1281" max="1281" width="21.75390625" style="10" customWidth="1"/>
    <col min="1282" max="1282" width="20.625" style="10" customWidth="1"/>
    <col min="1283" max="1283" width="20.25390625" style="10" customWidth="1"/>
    <col min="1284" max="1285" width="20.50390625" style="10" customWidth="1"/>
    <col min="1286" max="1286" width="19.25390625" style="10" customWidth="1"/>
    <col min="1287" max="1287" width="15.00390625" style="10" customWidth="1"/>
    <col min="1288" max="1536" width="9.25390625" style="10" customWidth="1"/>
    <col min="1537" max="1537" width="21.75390625" style="10" customWidth="1"/>
    <col min="1538" max="1538" width="20.625" style="10" customWidth="1"/>
    <col min="1539" max="1539" width="20.25390625" style="10" customWidth="1"/>
    <col min="1540" max="1541" width="20.50390625" style="10" customWidth="1"/>
    <col min="1542" max="1542" width="19.25390625" style="10" customWidth="1"/>
    <col min="1543" max="1543" width="15.00390625" style="10" customWidth="1"/>
    <col min="1544" max="1792" width="9.25390625" style="10" customWidth="1"/>
    <col min="1793" max="1793" width="21.75390625" style="10" customWidth="1"/>
    <col min="1794" max="1794" width="20.625" style="10" customWidth="1"/>
    <col min="1795" max="1795" width="20.25390625" style="10" customWidth="1"/>
    <col min="1796" max="1797" width="20.50390625" style="10" customWidth="1"/>
    <col min="1798" max="1798" width="19.25390625" style="10" customWidth="1"/>
    <col min="1799" max="1799" width="15.00390625" style="10" customWidth="1"/>
    <col min="1800" max="2048" width="9.25390625" style="10" customWidth="1"/>
    <col min="2049" max="2049" width="21.75390625" style="10" customWidth="1"/>
    <col min="2050" max="2050" width="20.625" style="10" customWidth="1"/>
    <col min="2051" max="2051" width="20.25390625" style="10" customWidth="1"/>
    <col min="2052" max="2053" width="20.50390625" style="10" customWidth="1"/>
    <col min="2054" max="2054" width="19.25390625" style="10" customWidth="1"/>
    <col min="2055" max="2055" width="15.00390625" style="10" customWidth="1"/>
    <col min="2056" max="2304" width="9.25390625" style="10" customWidth="1"/>
    <col min="2305" max="2305" width="21.75390625" style="10" customWidth="1"/>
    <col min="2306" max="2306" width="20.625" style="10" customWidth="1"/>
    <col min="2307" max="2307" width="20.25390625" style="10" customWidth="1"/>
    <col min="2308" max="2309" width="20.50390625" style="10" customWidth="1"/>
    <col min="2310" max="2310" width="19.25390625" style="10" customWidth="1"/>
    <col min="2311" max="2311" width="15.00390625" style="10" customWidth="1"/>
    <col min="2312" max="2560" width="9.25390625" style="10" customWidth="1"/>
    <col min="2561" max="2561" width="21.75390625" style="10" customWidth="1"/>
    <col min="2562" max="2562" width="20.625" style="10" customWidth="1"/>
    <col min="2563" max="2563" width="20.25390625" style="10" customWidth="1"/>
    <col min="2564" max="2565" width="20.50390625" style="10" customWidth="1"/>
    <col min="2566" max="2566" width="19.25390625" style="10" customWidth="1"/>
    <col min="2567" max="2567" width="15.00390625" style="10" customWidth="1"/>
    <col min="2568" max="2816" width="9.25390625" style="10" customWidth="1"/>
    <col min="2817" max="2817" width="21.75390625" style="10" customWidth="1"/>
    <col min="2818" max="2818" width="20.625" style="10" customWidth="1"/>
    <col min="2819" max="2819" width="20.25390625" style="10" customWidth="1"/>
    <col min="2820" max="2821" width="20.50390625" style="10" customWidth="1"/>
    <col min="2822" max="2822" width="19.25390625" style="10" customWidth="1"/>
    <col min="2823" max="2823" width="15.00390625" style="10" customWidth="1"/>
    <col min="2824" max="3072" width="9.25390625" style="10" customWidth="1"/>
    <col min="3073" max="3073" width="21.75390625" style="10" customWidth="1"/>
    <col min="3074" max="3074" width="20.625" style="10" customWidth="1"/>
    <col min="3075" max="3075" width="20.25390625" style="10" customWidth="1"/>
    <col min="3076" max="3077" width="20.50390625" style="10" customWidth="1"/>
    <col min="3078" max="3078" width="19.25390625" style="10" customWidth="1"/>
    <col min="3079" max="3079" width="15.00390625" style="10" customWidth="1"/>
    <col min="3080" max="3328" width="9.25390625" style="10" customWidth="1"/>
    <col min="3329" max="3329" width="21.75390625" style="10" customWidth="1"/>
    <col min="3330" max="3330" width="20.625" style="10" customWidth="1"/>
    <col min="3331" max="3331" width="20.25390625" style="10" customWidth="1"/>
    <col min="3332" max="3333" width="20.50390625" style="10" customWidth="1"/>
    <col min="3334" max="3334" width="19.25390625" style="10" customWidth="1"/>
    <col min="3335" max="3335" width="15.00390625" style="10" customWidth="1"/>
    <col min="3336" max="3584" width="9.25390625" style="10" customWidth="1"/>
    <col min="3585" max="3585" width="21.75390625" style="10" customWidth="1"/>
    <col min="3586" max="3586" width="20.625" style="10" customWidth="1"/>
    <col min="3587" max="3587" width="20.25390625" style="10" customWidth="1"/>
    <col min="3588" max="3589" width="20.50390625" style="10" customWidth="1"/>
    <col min="3590" max="3590" width="19.25390625" style="10" customWidth="1"/>
    <col min="3591" max="3591" width="15.00390625" style="10" customWidth="1"/>
    <col min="3592" max="3840" width="9.25390625" style="10" customWidth="1"/>
    <col min="3841" max="3841" width="21.75390625" style="10" customWidth="1"/>
    <col min="3842" max="3842" width="20.625" style="10" customWidth="1"/>
    <col min="3843" max="3843" width="20.25390625" style="10" customWidth="1"/>
    <col min="3844" max="3845" width="20.50390625" style="10" customWidth="1"/>
    <col min="3846" max="3846" width="19.25390625" style="10" customWidth="1"/>
    <col min="3847" max="3847" width="15.00390625" style="10" customWidth="1"/>
    <col min="3848" max="4096" width="9.25390625" style="10" customWidth="1"/>
    <col min="4097" max="4097" width="21.75390625" style="10" customWidth="1"/>
    <col min="4098" max="4098" width="20.625" style="10" customWidth="1"/>
    <col min="4099" max="4099" width="20.25390625" style="10" customWidth="1"/>
    <col min="4100" max="4101" width="20.50390625" style="10" customWidth="1"/>
    <col min="4102" max="4102" width="19.25390625" style="10" customWidth="1"/>
    <col min="4103" max="4103" width="15.00390625" style="10" customWidth="1"/>
    <col min="4104" max="4352" width="9.25390625" style="10" customWidth="1"/>
    <col min="4353" max="4353" width="21.75390625" style="10" customWidth="1"/>
    <col min="4354" max="4354" width="20.625" style="10" customWidth="1"/>
    <col min="4355" max="4355" width="20.25390625" style="10" customWidth="1"/>
    <col min="4356" max="4357" width="20.50390625" style="10" customWidth="1"/>
    <col min="4358" max="4358" width="19.25390625" style="10" customWidth="1"/>
    <col min="4359" max="4359" width="15.00390625" style="10" customWidth="1"/>
    <col min="4360" max="4608" width="9.25390625" style="10" customWidth="1"/>
    <col min="4609" max="4609" width="21.75390625" style="10" customWidth="1"/>
    <col min="4610" max="4610" width="20.625" style="10" customWidth="1"/>
    <col min="4611" max="4611" width="20.25390625" style="10" customWidth="1"/>
    <col min="4612" max="4613" width="20.50390625" style="10" customWidth="1"/>
    <col min="4614" max="4614" width="19.25390625" style="10" customWidth="1"/>
    <col min="4615" max="4615" width="15.00390625" style="10" customWidth="1"/>
    <col min="4616" max="4864" width="9.25390625" style="10" customWidth="1"/>
    <col min="4865" max="4865" width="21.75390625" style="10" customWidth="1"/>
    <col min="4866" max="4866" width="20.625" style="10" customWidth="1"/>
    <col min="4867" max="4867" width="20.25390625" style="10" customWidth="1"/>
    <col min="4868" max="4869" width="20.50390625" style="10" customWidth="1"/>
    <col min="4870" max="4870" width="19.25390625" style="10" customWidth="1"/>
    <col min="4871" max="4871" width="15.00390625" style="10" customWidth="1"/>
    <col min="4872" max="5120" width="9.25390625" style="10" customWidth="1"/>
    <col min="5121" max="5121" width="21.75390625" style="10" customWidth="1"/>
    <col min="5122" max="5122" width="20.625" style="10" customWidth="1"/>
    <col min="5123" max="5123" width="20.25390625" style="10" customWidth="1"/>
    <col min="5124" max="5125" width="20.50390625" style="10" customWidth="1"/>
    <col min="5126" max="5126" width="19.25390625" style="10" customWidth="1"/>
    <col min="5127" max="5127" width="15.00390625" style="10" customWidth="1"/>
    <col min="5128" max="5376" width="9.25390625" style="10" customWidth="1"/>
    <col min="5377" max="5377" width="21.75390625" style="10" customWidth="1"/>
    <col min="5378" max="5378" width="20.625" style="10" customWidth="1"/>
    <col min="5379" max="5379" width="20.25390625" style="10" customWidth="1"/>
    <col min="5380" max="5381" width="20.50390625" style="10" customWidth="1"/>
    <col min="5382" max="5382" width="19.25390625" style="10" customWidth="1"/>
    <col min="5383" max="5383" width="15.00390625" style="10" customWidth="1"/>
    <col min="5384" max="5632" width="9.25390625" style="10" customWidth="1"/>
    <col min="5633" max="5633" width="21.75390625" style="10" customWidth="1"/>
    <col min="5634" max="5634" width="20.625" style="10" customWidth="1"/>
    <col min="5635" max="5635" width="20.25390625" style="10" customWidth="1"/>
    <col min="5636" max="5637" width="20.50390625" style="10" customWidth="1"/>
    <col min="5638" max="5638" width="19.25390625" style="10" customWidth="1"/>
    <col min="5639" max="5639" width="15.00390625" style="10" customWidth="1"/>
    <col min="5640" max="5888" width="9.25390625" style="10" customWidth="1"/>
    <col min="5889" max="5889" width="21.75390625" style="10" customWidth="1"/>
    <col min="5890" max="5890" width="20.625" style="10" customWidth="1"/>
    <col min="5891" max="5891" width="20.25390625" style="10" customWidth="1"/>
    <col min="5892" max="5893" width="20.50390625" style="10" customWidth="1"/>
    <col min="5894" max="5894" width="19.25390625" style="10" customWidth="1"/>
    <col min="5895" max="5895" width="15.00390625" style="10" customWidth="1"/>
    <col min="5896" max="6144" width="9.25390625" style="10" customWidth="1"/>
    <col min="6145" max="6145" width="21.75390625" style="10" customWidth="1"/>
    <col min="6146" max="6146" width="20.625" style="10" customWidth="1"/>
    <col min="6147" max="6147" width="20.25390625" style="10" customWidth="1"/>
    <col min="6148" max="6149" width="20.50390625" style="10" customWidth="1"/>
    <col min="6150" max="6150" width="19.25390625" style="10" customWidth="1"/>
    <col min="6151" max="6151" width="15.00390625" style="10" customWidth="1"/>
    <col min="6152" max="6400" width="9.25390625" style="10" customWidth="1"/>
    <col min="6401" max="6401" width="21.75390625" style="10" customWidth="1"/>
    <col min="6402" max="6402" width="20.625" style="10" customWidth="1"/>
    <col min="6403" max="6403" width="20.25390625" style="10" customWidth="1"/>
    <col min="6404" max="6405" width="20.50390625" style="10" customWidth="1"/>
    <col min="6406" max="6406" width="19.25390625" style="10" customWidth="1"/>
    <col min="6407" max="6407" width="15.00390625" style="10" customWidth="1"/>
    <col min="6408" max="6656" width="9.25390625" style="10" customWidth="1"/>
    <col min="6657" max="6657" width="21.75390625" style="10" customWidth="1"/>
    <col min="6658" max="6658" width="20.625" style="10" customWidth="1"/>
    <col min="6659" max="6659" width="20.25390625" style="10" customWidth="1"/>
    <col min="6660" max="6661" width="20.50390625" style="10" customWidth="1"/>
    <col min="6662" max="6662" width="19.25390625" style="10" customWidth="1"/>
    <col min="6663" max="6663" width="15.00390625" style="10" customWidth="1"/>
    <col min="6664" max="6912" width="9.25390625" style="10" customWidth="1"/>
    <col min="6913" max="6913" width="21.75390625" style="10" customWidth="1"/>
    <col min="6914" max="6914" width="20.625" style="10" customWidth="1"/>
    <col min="6915" max="6915" width="20.25390625" style="10" customWidth="1"/>
    <col min="6916" max="6917" width="20.50390625" style="10" customWidth="1"/>
    <col min="6918" max="6918" width="19.25390625" style="10" customWidth="1"/>
    <col min="6919" max="6919" width="15.00390625" style="10" customWidth="1"/>
    <col min="6920" max="7168" width="9.25390625" style="10" customWidth="1"/>
    <col min="7169" max="7169" width="21.75390625" style="10" customWidth="1"/>
    <col min="7170" max="7170" width="20.625" style="10" customWidth="1"/>
    <col min="7171" max="7171" width="20.25390625" style="10" customWidth="1"/>
    <col min="7172" max="7173" width="20.50390625" style="10" customWidth="1"/>
    <col min="7174" max="7174" width="19.25390625" style="10" customWidth="1"/>
    <col min="7175" max="7175" width="15.00390625" style="10" customWidth="1"/>
    <col min="7176" max="7424" width="9.25390625" style="10" customWidth="1"/>
    <col min="7425" max="7425" width="21.75390625" style="10" customWidth="1"/>
    <col min="7426" max="7426" width="20.625" style="10" customWidth="1"/>
    <col min="7427" max="7427" width="20.25390625" style="10" customWidth="1"/>
    <col min="7428" max="7429" width="20.50390625" style="10" customWidth="1"/>
    <col min="7430" max="7430" width="19.25390625" style="10" customWidth="1"/>
    <col min="7431" max="7431" width="15.00390625" style="10" customWidth="1"/>
    <col min="7432" max="7680" width="9.25390625" style="10" customWidth="1"/>
    <col min="7681" max="7681" width="21.75390625" style="10" customWidth="1"/>
    <col min="7682" max="7682" width="20.625" style="10" customWidth="1"/>
    <col min="7683" max="7683" width="20.25390625" style="10" customWidth="1"/>
    <col min="7684" max="7685" width="20.50390625" style="10" customWidth="1"/>
    <col min="7686" max="7686" width="19.25390625" style="10" customWidth="1"/>
    <col min="7687" max="7687" width="15.00390625" style="10" customWidth="1"/>
    <col min="7688" max="7936" width="9.25390625" style="10" customWidth="1"/>
    <col min="7937" max="7937" width="21.75390625" style="10" customWidth="1"/>
    <col min="7938" max="7938" width="20.625" style="10" customWidth="1"/>
    <col min="7939" max="7939" width="20.25390625" style="10" customWidth="1"/>
    <col min="7940" max="7941" width="20.50390625" style="10" customWidth="1"/>
    <col min="7942" max="7942" width="19.25390625" style="10" customWidth="1"/>
    <col min="7943" max="7943" width="15.00390625" style="10" customWidth="1"/>
    <col min="7944" max="8192" width="9.25390625" style="10" customWidth="1"/>
    <col min="8193" max="8193" width="21.75390625" style="10" customWidth="1"/>
    <col min="8194" max="8194" width="20.625" style="10" customWidth="1"/>
    <col min="8195" max="8195" width="20.25390625" style="10" customWidth="1"/>
    <col min="8196" max="8197" width="20.50390625" style="10" customWidth="1"/>
    <col min="8198" max="8198" width="19.25390625" style="10" customWidth="1"/>
    <col min="8199" max="8199" width="15.00390625" style="10" customWidth="1"/>
    <col min="8200" max="8448" width="9.25390625" style="10" customWidth="1"/>
    <col min="8449" max="8449" width="21.75390625" style="10" customWidth="1"/>
    <col min="8450" max="8450" width="20.625" style="10" customWidth="1"/>
    <col min="8451" max="8451" width="20.25390625" style="10" customWidth="1"/>
    <col min="8452" max="8453" width="20.50390625" style="10" customWidth="1"/>
    <col min="8454" max="8454" width="19.25390625" style="10" customWidth="1"/>
    <col min="8455" max="8455" width="15.00390625" style="10" customWidth="1"/>
    <col min="8456" max="8704" width="9.25390625" style="10" customWidth="1"/>
    <col min="8705" max="8705" width="21.75390625" style="10" customWidth="1"/>
    <col min="8706" max="8706" width="20.625" style="10" customWidth="1"/>
    <col min="8707" max="8707" width="20.25390625" style="10" customWidth="1"/>
    <col min="8708" max="8709" width="20.50390625" style="10" customWidth="1"/>
    <col min="8710" max="8710" width="19.25390625" style="10" customWidth="1"/>
    <col min="8711" max="8711" width="15.00390625" style="10" customWidth="1"/>
    <col min="8712" max="8960" width="9.25390625" style="10" customWidth="1"/>
    <col min="8961" max="8961" width="21.75390625" style="10" customWidth="1"/>
    <col min="8962" max="8962" width="20.625" style="10" customWidth="1"/>
    <col min="8963" max="8963" width="20.25390625" style="10" customWidth="1"/>
    <col min="8964" max="8965" width="20.50390625" style="10" customWidth="1"/>
    <col min="8966" max="8966" width="19.25390625" style="10" customWidth="1"/>
    <col min="8967" max="8967" width="15.00390625" style="10" customWidth="1"/>
    <col min="8968" max="9216" width="9.25390625" style="10" customWidth="1"/>
    <col min="9217" max="9217" width="21.75390625" style="10" customWidth="1"/>
    <col min="9218" max="9218" width="20.625" style="10" customWidth="1"/>
    <col min="9219" max="9219" width="20.25390625" style="10" customWidth="1"/>
    <col min="9220" max="9221" width="20.50390625" style="10" customWidth="1"/>
    <col min="9222" max="9222" width="19.25390625" style="10" customWidth="1"/>
    <col min="9223" max="9223" width="15.00390625" style="10" customWidth="1"/>
    <col min="9224" max="9472" width="9.25390625" style="10" customWidth="1"/>
    <col min="9473" max="9473" width="21.75390625" style="10" customWidth="1"/>
    <col min="9474" max="9474" width="20.625" style="10" customWidth="1"/>
    <col min="9475" max="9475" width="20.25390625" style="10" customWidth="1"/>
    <col min="9476" max="9477" width="20.50390625" style="10" customWidth="1"/>
    <col min="9478" max="9478" width="19.25390625" style="10" customWidth="1"/>
    <col min="9479" max="9479" width="15.00390625" style="10" customWidth="1"/>
    <col min="9480" max="9728" width="9.25390625" style="10" customWidth="1"/>
    <col min="9729" max="9729" width="21.75390625" style="10" customWidth="1"/>
    <col min="9730" max="9730" width="20.625" style="10" customWidth="1"/>
    <col min="9731" max="9731" width="20.25390625" style="10" customWidth="1"/>
    <col min="9732" max="9733" width="20.50390625" style="10" customWidth="1"/>
    <col min="9734" max="9734" width="19.25390625" style="10" customWidth="1"/>
    <col min="9735" max="9735" width="15.00390625" style="10" customWidth="1"/>
    <col min="9736" max="9984" width="9.25390625" style="10" customWidth="1"/>
    <col min="9985" max="9985" width="21.75390625" style="10" customWidth="1"/>
    <col min="9986" max="9986" width="20.625" style="10" customWidth="1"/>
    <col min="9987" max="9987" width="20.25390625" style="10" customWidth="1"/>
    <col min="9988" max="9989" width="20.50390625" style="10" customWidth="1"/>
    <col min="9990" max="9990" width="19.25390625" style="10" customWidth="1"/>
    <col min="9991" max="9991" width="15.00390625" style="10" customWidth="1"/>
    <col min="9992" max="10240" width="9.25390625" style="10" customWidth="1"/>
    <col min="10241" max="10241" width="21.75390625" style="10" customWidth="1"/>
    <col min="10242" max="10242" width="20.625" style="10" customWidth="1"/>
    <col min="10243" max="10243" width="20.25390625" style="10" customWidth="1"/>
    <col min="10244" max="10245" width="20.50390625" style="10" customWidth="1"/>
    <col min="10246" max="10246" width="19.25390625" style="10" customWidth="1"/>
    <col min="10247" max="10247" width="15.00390625" style="10" customWidth="1"/>
    <col min="10248" max="10496" width="9.25390625" style="10" customWidth="1"/>
    <col min="10497" max="10497" width="21.75390625" style="10" customWidth="1"/>
    <col min="10498" max="10498" width="20.625" style="10" customWidth="1"/>
    <col min="10499" max="10499" width="20.25390625" style="10" customWidth="1"/>
    <col min="10500" max="10501" width="20.50390625" style="10" customWidth="1"/>
    <col min="10502" max="10502" width="19.25390625" style="10" customWidth="1"/>
    <col min="10503" max="10503" width="15.00390625" style="10" customWidth="1"/>
    <col min="10504" max="10752" width="9.25390625" style="10" customWidth="1"/>
    <col min="10753" max="10753" width="21.75390625" style="10" customWidth="1"/>
    <col min="10754" max="10754" width="20.625" style="10" customWidth="1"/>
    <col min="10755" max="10755" width="20.25390625" style="10" customWidth="1"/>
    <col min="10756" max="10757" width="20.50390625" style="10" customWidth="1"/>
    <col min="10758" max="10758" width="19.25390625" style="10" customWidth="1"/>
    <col min="10759" max="10759" width="15.00390625" style="10" customWidth="1"/>
    <col min="10760" max="11008" width="9.25390625" style="10" customWidth="1"/>
    <col min="11009" max="11009" width="21.75390625" style="10" customWidth="1"/>
    <col min="11010" max="11010" width="20.625" style="10" customWidth="1"/>
    <col min="11011" max="11011" width="20.25390625" style="10" customWidth="1"/>
    <col min="11012" max="11013" width="20.50390625" style="10" customWidth="1"/>
    <col min="11014" max="11014" width="19.25390625" style="10" customWidth="1"/>
    <col min="11015" max="11015" width="15.00390625" style="10" customWidth="1"/>
    <col min="11016" max="11264" width="9.25390625" style="10" customWidth="1"/>
    <col min="11265" max="11265" width="21.75390625" style="10" customWidth="1"/>
    <col min="11266" max="11266" width="20.625" style="10" customWidth="1"/>
    <col min="11267" max="11267" width="20.25390625" style="10" customWidth="1"/>
    <col min="11268" max="11269" width="20.50390625" style="10" customWidth="1"/>
    <col min="11270" max="11270" width="19.25390625" style="10" customWidth="1"/>
    <col min="11271" max="11271" width="15.00390625" style="10" customWidth="1"/>
    <col min="11272" max="11520" width="9.25390625" style="10" customWidth="1"/>
    <col min="11521" max="11521" width="21.75390625" style="10" customWidth="1"/>
    <col min="11522" max="11522" width="20.625" style="10" customWidth="1"/>
    <col min="11523" max="11523" width="20.25390625" style="10" customWidth="1"/>
    <col min="11524" max="11525" width="20.50390625" style="10" customWidth="1"/>
    <col min="11526" max="11526" width="19.25390625" style="10" customWidth="1"/>
    <col min="11527" max="11527" width="15.00390625" style="10" customWidth="1"/>
    <col min="11528" max="11776" width="9.25390625" style="10" customWidth="1"/>
    <col min="11777" max="11777" width="21.75390625" style="10" customWidth="1"/>
    <col min="11778" max="11778" width="20.625" style="10" customWidth="1"/>
    <col min="11779" max="11779" width="20.25390625" style="10" customWidth="1"/>
    <col min="11780" max="11781" width="20.50390625" style="10" customWidth="1"/>
    <col min="11782" max="11782" width="19.25390625" style="10" customWidth="1"/>
    <col min="11783" max="11783" width="15.00390625" style="10" customWidth="1"/>
    <col min="11784" max="12032" width="9.25390625" style="10" customWidth="1"/>
    <col min="12033" max="12033" width="21.75390625" style="10" customWidth="1"/>
    <col min="12034" max="12034" width="20.625" style="10" customWidth="1"/>
    <col min="12035" max="12035" width="20.25390625" style="10" customWidth="1"/>
    <col min="12036" max="12037" width="20.50390625" style="10" customWidth="1"/>
    <col min="12038" max="12038" width="19.25390625" style="10" customWidth="1"/>
    <col min="12039" max="12039" width="15.00390625" style="10" customWidth="1"/>
    <col min="12040" max="12288" width="9.25390625" style="10" customWidth="1"/>
    <col min="12289" max="12289" width="21.75390625" style="10" customWidth="1"/>
    <col min="12290" max="12290" width="20.625" style="10" customWidth="1"/>
    <col min="12291" max="12291" width="20.25390625" style="10" customWidth="1"/>
    <col min="12292" max="12293" width="20.50390625" style="10" customWidth="1"/>
    <col min="12294" max="12294" width="19.25390625" style="10" customWidth="1"/>
    <col min="12295" max="12295" width="15.00390625" style="10" customWidth="1"/>
    <col min="12296" max="12544" width="9.25390625" style="10" customWidth="1"/>
    <col min="12545" max="12545" width="21.75390625" style="10" customWidth="1"/>
    <col min="12546" max="12546" width="20.625" style="10" customWidth="1"/>
    <col min="12547" max="12547" width="20.25390625" style="10" customWidth="1"/>
    <col min="12548" max="12549" width="20.50390625" style="10" customWidth="1"/>
    <col min="12550" max="12550" width="19.25390625" style="10" customWidth="1"/>
    <col min="12551" max="12551" width="15.00390625" style="10" customWidth="1"/>
    <col min="12552" max="12800" width="9.25390625" style="10" customWidth="1"/>
    <col min="12801" max="12801" width="21.75390625" style="10" customWidth="1"/>
    <col min="12802" max="12802" width="20.625" style="10" customWidth="1"/>
    <col min="12803" max="12803" width="20.25390625" style="10" customWidth="1"/>
    <col min="12804" max="12805" width="20.50390625" style="10" customWidth="1"/>
    <col min="12806" max="12806" width="19.25390625" style="10" customWidth="1"/>
    <col min="12807" max="12807" width="15.00390625" style="10" customWidth="1"/>
    <col min="12808" max="13056" width="9.25390625" style="10" customWidth="1"/>
    <col min="13057" max="13057" width="21.75390625" style="10" customWidth="1"/>
    <col min="13058" max="13058" width="20.625" style="10" customWidth="1"/>
    <col min="13059" max="13059" width="20.25390625" style="10" customWidth="1"/>
    <col min="13060" max="13061" width="20.50390625" style="10" customWidth="1"/>
    <col min="13062" max="13062" width="19.25390625" style="10" customWidth="1"/>
    <col min="13063" max="13063" width="15.00390625" style="10" customWidth="1"/>
    <col min="13064" max="13312" width="9.25390625" style="10" customWidth="1"/>
    <col min="13313" max="13313" width="21.75390625" style="10" customWidth="1"/>
    <col min="13314" max="13314" width="20.625" style="10" customWidth="1"/>
    <col min="13315" max="13315" width="20.25390625" style="10" customWidth="1"/>
    <col min="13316" max="13317" width="20.50390625" style="10" customWidth="1"/>
    <col min="13318" max="13318" width="19.25390625" style="10" customWidth="1"/>
    <col min="13319" max="13319" width="15.00390625" style="10" customWidth="1"/>
    <col min="13320" max="13568" width="9.25390625" style="10" customWidth="1"/>
    <col min="13569" max="13569" width="21.75390625" style="10" customWidth="1"/>
    <col min="13570" max="13570" width="20.625" style="10" customWidth="1"/>
    <col min="13571" max="13571" width="20.25390625" style="10" customWidth="1"/>
    <col min="13572" max="13573" width="20.50390625" style="10" customWidth="1"/>
    <col min="13574" max="13574" width="19.25390625" style="10" customWidth="1"/>
    <col min="13575" max="13575" width="15.00390625" style="10" customWidth="1"/>
    <col min="13576" max="13824" width="9.25390625" style="10" customWidth="1"/>
    <col min="13825" max="13825" width="21.75390625" style="10" customWidth="1"/>
    <col min="13826" max="13826" width="20.625" style="10" customWidth="1"/>
    <col min="13827" max="13827" width="20.25390625" style="10" customWidth="1"/>
    <col min="13828" max="13829" width="20.50390625" style="10" customWidth="1"/>
    <col min="13830" max="13830" width="19.25390625" style="10" customWidth="1"/>
    <col min="13831" max="13831" width="15.00390625" style="10" customWidth="1"/>
    <col min="13832" max="14080" width="9.25390625" style="10" customWidth="1"/>
    <col min="14081" max="14081" width="21.75390625" style="10" customWidth="1"/>
    <col min="14082" max="14082" width="20.625" style="10" customWidth="1"/>
    <col min="14083" max="14083" width="20.25390625" style="10" customWidth="1"/>
    <col min="14084" max="14085" width="20.50390625" style="10" customWidth="1"/>
    <col min="14086" max="14086" width="19.25390625" style="10" customWidth="1"/>
    <col min="14087" max="14087" width="15.00390625" style="10" customWidth="1"/>
    <col min="14088" max="14336" width="9.25390625" style="10" customWidth="1"/>
    <col min="14337" max="14337" width="21.75390625" style="10" customWidth="1"/>
    <col min="14338" max="14338" width="20.625" style="10" customWidth="1"/>
    <col min="14339" max="14339" width="20.25390625" style="10" customWidth="1"/>
    <col min="14340" max="14341" width="20.50390625" style="10" customWidth="1"/>
    <col min="14342" max="14342" width="19.25390625" style="10" customWidth="1"/>
    <col min="14343" max="14343" width="15.00390625" style="10" customWidth="1"/>
    <col min="14344" max="14592" width="9.25390625" style="10" customWidth="1"/>
    <col min="14593" max="14593" width="21.75390625" style="10" customWidth="1"/>
    <col min="14594" max="14594" width="20.625" style="10" customWidth="1"/>
    <col min="14595" max="14595" width="20.25390625" style="10" customWidth="1"/>
    <col min="14596" max="14597" width="20.50390625" style="10" customWidth="1"/>
    <col min="14598" max="14598" width="19.25390625" style="10" customWidth="1"/>
    <col min="14599" max="14599" width="15.00390625" style="10" customWidth="1"/>
    <col min="14600" max="14848" width="9.25390625" style="10" customWidth="1"/>
    <col min="14849" max="14849" width="21.75390625" style="10" customWidth="1"/>
    <col min="14850" max="14850" width="20.625" style="10" customWidth="1"/>
    <col min="14851" max="14851" width="20.25390625" style="10" customWidth="1"/>
    <col min="14852" max="14853" width="20.50390625" style="10" customWidth="1"/>
    <col min="14854" max="14854" width="19.25390625" style="10" customWidth="1"/>
    <col min="14855" max="14855" width="15.00390625" style="10" customWidth="1"/>
    <col min="14856" max="15104" width="9.25390625" style="10" customWidth="1"/>
    <col min="15105" max="15105" width="21.75390625" style="10" customWidth="1"/>
    <col min="15106" max="15106" width="20.625" style="10" customWidth="1"/>
    <col min="15107" max="15107" width="20.25390625" style="10" customWidth="1"/>
    <col min="15108" max="15109" width="20.50390625" style="10" customWidth="1"/>
    <col min="15110" max="15110" width="19.25390625" style="10" customWidth="1"/>
    <col min="15111" max="15111" width="15.00390625" style="10" customWidth="1"/>
    <col min="15112" max="15360" width="9.25390625" style="10" customWidth="1"/>
    <col min="15361" max="15361" width="21.75390625" style="10" customWidth="1"/>
    <col min="15362" max="15362" width="20.625" style="10" customWidth="1"/>
    <col min="15363" max="15363" width="20.25390625" style="10" customWidth="1"/>
    <col min="15364" max="15365" width="20.50390625" style="10" customWidth="1"/>
    <col min="15366" max="15366" width="19.25390625" style="10" customWidth="1"/>
    <col min="15367" max="15367" width="15.00390625" style="10" customWidth="1"/>
    <col min="15368" max="15616" width="9.25390625" style="10" customWidth="1"/>
    <col min="15617" max="15617" width="21.75390625" style="10" customWidth="1"/>
    <col min="15618" max="15618" width="20.625" style="10" customWidth="1"/>
    <col min="15619" max="15619" width="20.25390625" style="10" customWidth="1"/>
    <col min="15620" max="15621" width="20.50390625" style="10" customWidth="1"/>
    <col min="15622" max="15622" width="19.25390625" style="10" customWidth="1"/>
    <col min="15623" max="15623" width="15.00390625" style="10" customWidth="1"/>
    <col min="15624" max="15872" width="9.25390625" style="10" customWidth="1"/>
    <col min="15873" max="15873" width="21.75390625" style="10" customWidth="1"/>
    <col min="15874" max="15874" width="20.625" style="10" customWidth="1"/>
    <col min="15875" max="15875" width="20.25390625" style="10" customWidth="1"/>
    <col min="15876" max="15877" width="20.50390625" style="10" customWidth="1"/>
    <col min="15878" max="15878" width="19.25390625" style="10" customWidth="1"/>
    <col min="15879" max="15879" width="15.00390625" style="10" customWidth="1"/>
    <col min="15880" max="16128" width="9.25390625" style="10" customWidth="1"/>
    <col min="16129" max="16129" width="21.75390625" style="10" customWidth="1"/>
    <col min="16130" max="16130" width="20.625" style="10" customWidth="1"/>
    <col min="16131" max="16131" width="20.25390625" style="10" customWidth="1"/>
    <col min="16132" max="16133" width="20.50390625" style="10" customWidth="1"/>
    <col min="16134" max="16134" width="19.25390625" style="10" customWidth="1"/>
    <col min="16135" max="16135" width="15.00390625" style="10" customWidth="1"/>
    <col min="16136" max="16384" width="9.25390625" style="10" customWidth="1"/>
  </cols>
  <sheetData>
    <row r="1" spans="1:7" s="9" customFormat="1" ht="34.5" customHeight="1">
      <c r="A1" s="993" t="s">
        <v>1169</v>
      </c>
      <c r="B1" s="994"/>
      <c r="C1" s="994"/>
      <c r="D1" s="994"/>
      <c r="E1" s="994"/>
      <c r="F1" s="994"/>
      <c r="G1" s="994"/>
    </row>
    <row r="2" spans="1:7" s="9" customFormat="1" ht="20.25" customHeight="1">
      <c r="A2" s="995" t="s">
        <v>1170</v>
      </c>
      <c r="B2" s="995"/>
      <c r="C2" s="995"/>
      <c r="D2" s="995"/>
      <c r="E2" s="995"/>
      <c r="F2" s="995"/>
      <c r="G2" s="995"/>
    </row>
    <row r="3" spans="1:7" ht="30" customHeight="1">
      <c r="A3" s="1080" t="s">
        <v>1293</v>
      </c>
      <c r="B3" s="1081"/>
      <c r="C3" s="1081"/>
      <c r="D3" s="1081"/>
      <c r="E3" s="1081"/>
      <c r="F3" s="1081"/>
      <c r="G3" s="1082"/>
    </row>
    <row r="4" spans="1:7" s="1" customFormat="1" ht="17.25" customHeight="1">
      <c r="A4" s="992" t="s">
        <v>1172</v>
      </c>
      <c r="B4" s="992"/>
      <c r="C4" s="992"/>
      <c r="D4" s="572" t="s">
        <v>1173</v>
      </c>
      <c r="E4" s="572" t="s">
        <v>1173</v>
      </c>
      <c r="F4" s="572" t="s">
        <v>1174</v>
      </c>
      <c r="G4" s="992" t="s">
        <v>1175</v>
      </c>
    </row>
    <row r="5" spans="1:7" s="2" customFormat="1" ht="18" customHeight="1">
      <c r="A5" s="675" t="s">
        <v>1176</v>
      </c>
      <c r="B5" s="675" t="s">
        <v>1177</v>
      </c>
      <c r="C5" s="675" t="s">
        <v>1178</v>
      </c>
      <c r="D5" s="623" t="s">
        <v>1179</v>
      </c>
      <c r="E5" s="623" t="s">
        <v>1180</v>
      </c>
      <c r="F5" s="623" t="s">
        <v>1181</v>
      </c>
      <c r="G5" s="992"/>
    </row>
    <row r="6" spans="1:7" s="576" customFormat="1" ht="15" customHeight="1">
      <c r="A6" s="590">
        <v>5300</v>
      </c>
      <c r="B6" s="590"/>
      <c r="C6" s="594"/>
      <c r="D6" s="612"/>
      <c r="E6" s="612"/>
      <c r="F6" s="574"/>
      <c r="G6" s="500" t="s">
        <v>1183</v>
      </c>
    </row>
    <row r="7" spans="1:7" s="576" customFormat="1" ht="15" customHeight="1">
      <c r="A7" s="684" t="s">
        <v>1296</v>
      </c>
      <c r="B7" s="685"/>
      <c r="C7" s="592"/>
      <c r="D7" s="606">
        <v>318045000</v>
      </c>
      <c r="E7" s="606">
        <f>E9</f>
        <v>315190000</v>
      </c>
      <c r="F7" s="573">
        <f>D7-E7</f>
        <v>2855000</v>
      </c>
      <c r="G7" s="317"/>
    </row>
    <row r="8" spans="1:7" s="576" customFormat="1" ht="15" customHeight="1">
      <c r="A8" s="591"/>
      <c r="B8" s="590">
        <v>5330</v>
      </c>
      <c r="C8" s="595"/>
      <c r="D8" s="610"/>
      <c r="E8" s="610"/>
      <c r="F8" s="577"/>
      <c r="G8" s="577"/>
    </row>
    <row r="9" spans="1:7" s="576" customFormat="1" ht="15" customHeight="1">
      <c r="A9" s="591"/>
      <c r="B9" s="684" t="s">
        <v>1162</v>
      </c>
      <c r="C9" s="592"/>
      <c r="D9" s="606">
        <v>318045000</v>
      </c>
      <c r="E9" s="606">
        <f>E11</f>
        <v>315190000</v>
      </c>
      <c r="F9" s="573">
        <f>D9-E9</f>
        <v>2855000</v>
      </c>
      <c r="G9" s="573"/>
    </row>
    <row r="10" spans="1:7" s="576" customFormat="1" ht="15" customHeight="1">
      <c r="A10" s="591"/>
      <c r="B10" s="591"/>
      <c r="C10" s="594">
        <v>5339</v>
      </c>
      <c r="D10" s="609"/>
      <c r="E10" s="609"/>
      <c r="F10" s="577"/>
      <c r="G10" s="577"/>
    </row>
    <row r="11" spans="1:7" s="576" customFormat="1" ht="15" customHeight="1">
      <c r="A11" s="352"/>
      <c r="B11" s="352"/>
      <c r="C11" s="592" t="s">
        <v>1163</v>
      </c>
      <c r="D11" s="611">
        <v>318045000</v>
      </c>
      <c r="E11" s="611">
        <v>315190000</v>
      </c>
      <c r="F11" s="582">
        <f>D11-E11</f>
        <v>2855000</v>
      </c>
      <c r="G11" s="573"/>
    </row>
    <row r="12" spans="1:7" s="576" customFormat="1" ht="15" customHeight="1">
      <c r="A12" s="590">
        <v>5400</v>
      </c>
      <c r="B12" s="686"/>
      <c r="C12" s="595"/>
      <c r="D12" s="610"/>
      <c r="E12" s="610"/>
      <c r="F12" s="577"/>
      <c r="G12" s="577"/>
    </row>
    <row r="13" spans="1:7" s="576" customFormat="1" ht="15" customHeight="1">
      <c r="A13" s="684" t="s">
        <v>1164</v>
      </c>
      <c r="B13" s="685"/>
      <c r="C13" s="592"/>
      <c r="D13" s="606">
        <v>4320000</v>
      </c>
      <c r="E13" s="606">
        <f>E15</f>
        <v>4320000</v>
      </c>
      <c r="F13" s="573">
        <f>D13-E13</f>
        <v>0</v>
      </c>
      <c r="G13" s="573"/>
    </row>
    <row r="14" spans="1:7" s="576" customFormat="1" ht="15" customHeight="1">
      <c r="A14" s="591"/>
      <c r="B14" s="590">
        <v>5410</v>
      </c>
      <c r="C14" s="595"/>
      <c r="D14" s="609"/>
      <c r="E14" s="609"/>
      <c r="F14" s="577"/>
      <c r="G14" s="577"/>
    </row>
    <row r="15" spans="1:7" s="576" customFormat="1" ht="15" customHeight="1">
      <c r="A15" s="591"/>
      <c r="B15" s="684" t="s">
        <v>1165</v>
      </c>
      <c r="C15" s="592"/>
      <c r="D15" s="606">
        <v>4320000</v>
      </c>
      <c r="E15" s="606">
        <f>E17</f>
        <v>4320000</v>
      </c>
      <c r="F15" s="573">
        <f>D15-E15</f>
        <v>0</v>
      </c>
      <c r="G15" s="573"/>
    </row>
    <row r="16" spans="1:7" s="576" customFormat="1" ht="15" customHeight="1">
      <c r="A16" s="591"/>
      <c r="B16" s="591"/>
      <c r="C16" s="594">
        <v>5411</v>
      </c>
      <c r="D16" s="609"/>
      <c r="E16" s="609"/>
      <c r="F16" s="577"/>
      <c r="G16" s="577"/>
    </row>
    <row r="17" spans="1:7" s="576" customFormat="1" ht="15" customHeight="1">
      <c r="A17" s="591"/>
      <c r="B17" s="352"/>
      <c r="C17" s="592" t="s">
        <v>1166</v>
      </c>
      <c r="D17" s="611">
        <v>4320000</v>
      </c>
      <c r="E17" s="611">
        <v>4320000</v>
      </c>
      <c r="F17" s="582">
        <f>D17-E17</f>
        <v>0</v>
      </c>
      <c r="G17" s="573"/>
    </row>
    <row r="18" spans="1:7" s="576" customFormat="1" ht="15" customHeight="1">
      <c r="A18" s="686" t="s">
        <v>1168</v>
      </c>
      <c r="B18" s="361"/>
      <c r="C18" s="362"/>
      <c r="D18" s="616">
        <v>177412961</v>
      </c>
      <c r="E18" s="616">
        <f>E20</f>
        <v>179243000</v>
      </c>
      <c r="F18" s="588">
        <f>D18-E18</f>
        <v>-1830039</v>
      </c>
      <c r="G18" s="588"/>
    </row>
    <row r="19" spans="1:7" s="576" customFormat="1" ht="15" customHeight="1">
      <c r="A19" s="684" t="s">
        <v>1156</v>
      </c>
      <c r="B19" s="590">
        <v>1100</v>
      </c>
      <c r="C19" s="363"/>
      <c r="D19" s="617"/>
      <c r="E19" s="617"/>
      <c r="F19" s="587"/>
      <c r="G19" s="587"/>
    </row>
    <row r="20" spans="1:7" s="576" customFormat="1" ht="15" customHeight="1">
      <c r="A20" s="591"/>
      <c r="B20" s="1079" t="s">
        <v>1157</v>
      </c>
      <c r="C20" s="364"/>
      <c r="D20" s="606">
        <v>177412961</v>
      </c>
      <c r="E20" s="606">
        <f>E22</f>
        <v>179243000</v>
      </c>
      <c r="F20" s="573">
        <f>D20-E20</f>
        <v>-1830039</v>
      </c>
      <c r="G20" s="573"/>
    </row>
    <row r="21" spans="1:7" s="576" customFormat="1" ht="15" customHeight="1">
      <c r="A21" s="591"/>
      <c r="B21" s="1079"/>
      <c r="C21" s="594">
        <v>1100</v>
      </c>
      <c r="D21" s="609"/>
      <c r="E21" s="609"/>
      <c r="F21" s="577"/>
      <c r="G21" s="577"/>
    </row>
    <row r="22" spans="1:7" s="576" customFormat="1" ht="15" customHeight="1">
      <c r="A22" s="591"/>
      <c r="B22" s="352"/>
      <c r="C22" s="592" t="s">
        <v>1157</v>
      </c>
      <c r="D22" s="606">
        <v>177412961</v>
      </c>
      <c r="E22" s="606">
        <v>179243000</v>
      </c>
      <c r="F22" s="573">
        <f>D22-E22</f>
        <v>-1830039</v>
      </c>
      <c r="G22" s="573"/>
    </row>
    <row r="23" spans="1:7" s="576" customFormat="1" ht="15" customHeight="1">
      <c r="A23" s="1076" t="s">
        <v>1158</v>
      </c>
      <c r="B23" s="1076"/>
      <c r="C23" s="1076"/>
      <c r="D23" s="432">
        <f>D18+D13+D7</f>
        <v>499777961</v>
      </c>
      <c r="E23" s="432">
        <f>E18+E13+E7</f>
        <v>498753000</v>
      </c>
      <c r="F23" s="333">
        <f>D23-E23</f>
        <v>1024961</v>
      </c>
      <c r="G23" s="333"/>
    </row>
    <row r="24" s="576" customFormat="1" ht="27" customHeight="1">
      <c r="A24" s="316"/>
    </row>
  </sheetData>
  <mergeCells count="7">
    <mergeCell ref="B20:B21"/>
    <mergeCell ref="A23:C23"/>
    <mergeCell ref="A1:G1"/>
    <mergeCell ref="A2:G2"/>
    <mergeCell ref="A3:G3"/>
    <mergeCell ref="A4:C4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 topLeftCell="A16">
      <selection activeCell="E47" sqref="E47"/>
    </sheetView>
  </sheetViews>
  <sheetFormatPr defaultColWidth="9.00390625" defaultRowHeight="14.25"/>
  <cols>
    <col min="1" max="1" width="12.625" style="69" customWidth="1"/>
    <col min="2" max="2" width="14.50390625" style="69" customWidth="1"/>
    <col min="3" max="3" width="16.50390625" style="9" customWidth="1"/>
    <col min="4" max="4" width="20.50390625" style="9" customWidth="1"/>
    <col min="5" max="5" width="20.375" style="9" customWidth="1"/>
    <col min="6" max="6" width="19.625" style="9" customWidth="1"/>
    <col min="7" max="7" width="18.50390625" style="9" customWidth="1"/>
    <col min="8" max="256" width="9.00390625" style="9" customWidth="1"/>
    <col min="257" max="257" width="18.25390625" style="9" customWidth="1"/>
    <col min="258" max="258" width="18.375" style="9" customWidth="1"/>
    <col min="259" max="259" width="20.75390625" style="9" customWidth="1"/>
    <col min="260" max="260" width="20.50390625" style="9" customWidth="1"/>
    <col min="261" max="261" width="20.375" style="9" customWidth="1"/>
    <col min="262" max="262" width="19.625" style="9" customWidth="1"/>
    <col min="263" max="263" width="18.50390625" style="9" customWidth="1"/>
    <col min="264" max="512" width="9.00390625" style="9" customWidth="1"/>
    <col min="513" max="513" width="18.25390625" style="9" customWidth="1"/>
    <col min="514" max="514" width="18.375" style="9" customWidth="1"/>
    <col min="515" max="515" width="20.75390625" style="9" customWidth="1"/>
    <col min="516" max="516" width="20.50390625" style="9" customWidth="1"/>
    <col min="517" max="517" width="20.375" style="9" customWidth="1"/>
    <col min="518" max="518" width="19.625" style="9" customWidth="1"/>
    <col min="519" max="519" width="18.50390625" style="9" customWidth="1"/>
    <col min="520" max="768" width="9.00390625" style="9" customWidth="1"/>
    <col min="769" max="769" width="18.25390625" style="9" customWidth="1"/>
    <col min="770" max="770" width="18.375" style="9" customWidth="1"/>
    <col min="771" max="771" width="20.75390625" style="9" customWidth="1"/>
    <col min="772" max="772" width="20.50390625" style="9" customWidth="1"/>
    <col min="773" max="773" width="20.375" style="9" customWidth="1"/>
    <col min="774" max="774" width="19.625" style="9" customWidth="1"/>
    <col min="775" max="775" width="18.50390625" style="9" customWidth="1"/>
    <col min="776" max="1024" width="9.00390625" style="9" customWidth="1"/>
    <col min="1025" max="1025" width="18.25390625" style="9" customWidth="1"/>
    <col min="1026" max="1026" width="18.375" style="9" customWidth="1"/>
    <col min="1027" max="1027" width="20.75390625" style="9" customWidth="1"/>
    <col min="1028" max="1028" width="20.50390625" style="9" customWidth="1"/>
    <col min="1029" max="1029" width="20.375" style="9" customWidth="1"/>
    <col min="1030" max="1030" width="19.625" style="9" customWidth="1"/>
    <col min="1031" max="1031" width="18.50390625" style="9" customWidth="1"/>
    <col min="1032" max="1280" width="9.00390625" style="9" customWidth="1"/>
    <col min="1281" max="1281" width="18.25390625" style="9" customWidth="1"/>
    <col min="1282" max="1282" width="18.375" style="9" customWidth="1"/>
    <col min="1283" max="1283" width="20.75390625" style="9" customWidth="1"/>
    <col min="1284" max="1284" width="20.50390625" style="9" customWidth="1"/>
    <col min="1285" max="1285" width="20.375" style="9" customWidth="1"/>
    <col min="1286" max="1286" width="19.625" style="9" customWidth="1"/>
    <col min="1287" max="1287" width="18.50390625" style="9" customWidth="1"/>
    <col min="1288" max="1536" width="9.00390625" style="9" customWidth="1"/>
    <col min="1537" max="1537" width="18.25390625" style="9" customWidth="1"/>
    <col min="1538" max="1538" width="18.375" style="9" customWidth="1"/>
    <col min="1539" max="1539" width="20.75390625" style="9" customWidth="1"/>
    <col min="1540" max="1540" width="20.50390625" style="9" customWidth="1"/>
    <col min="1541" max="1541" width="20.375" style="9" customWidth="1"/>
    <col min="1542" max="1542" width="19.625" style="9" customWidth="1"/>
    <col min="1543" max="1543" width="18.50390625" style="9" customWidth="1"/>
    <col min="1544" max="1792" width="9.00390625" style="9" customWidth="1"/>
    <col min="1793" max="1793" width="18.25390625" style="9" customWidth="1"/>
    <col min="1794" max="1794" width="18.375" style="9" customWidth="1"/>
    <col min="1795" max="1795" width="20.75390625" style="9" customWidth="1"/>
    <col min="1796" max="1796" width="20.50390625" style="9" customWidth="1"/>
    <col min="1797" max="1797" width="20.375" style="9" customWidth="1"/>
    <col min="1798" max="1798" width="19.625" style="9" customWidth="1"/>
    <col min="1799" max="1799" width="18.50390625" style="9" customWidth="1"/>
    <col min="1800" max="2048" width="9.00390625" style="9" customWidth="1"/>
    <col min="2049" max="2049" width="18.25390625" style="9" customWidth="1"/>
    <col min="2050" max="2050" width="18.375" style="9" customWidth="1"/>
    <col min="2051" max="2051" width="20.75390625" style="9" customWidth="1"/>
    <col min="2052" max="2052" width="20.50390625" style="9" customWidth="1"/>
    <col min="2053" max="2053" width="20.375" style="9" customWidth="1"/>
    <col min="2054" max="2054" width="19.625" style="9" customWidth="1"/>
    <col min="2055" max="2055" width="18.50390625" style="9" customWidth="1"/>
    <col min="2056" max="2304" width="9.00390625" style="9" customWidth="1"/>
    <col min="2305" max="2305" width="18.25390625" style="9" customWidth="1"/>
    <col min="2306" max="2306" width="18.375" style="9" customWidth="1"/>
    <col min="2307" max="2307" width="20.75390625" style="9" customWidth="1"/>
    <col min="2308" max="2308" width="20.50390625" style="9" customWidth="1"/>
    <col min="2309" max="2309" width="20.375" style="9" customWidth="1"/>
    <col min="2310" max="2310" width="19.625" style="9" customWidth="1"/>
    <col min="2311" max="2311" width="18.50390625" style="9" customWidth="1"/>
    <col min="2312" max="2560" width="9.00390625" style="9" customWidth="1"/>
    <col min="2561" max="2561" width="18.25390625" style="9" customWidth="1"/>
    <col min="2562" max="2562" width="18.375" style="9" customWidth="1"/>
    <col min="2563" max="2563" width="20.75390625" style="9" customWidth="1"/>
    <col min="2564" max="2564" width="20.50390625" style="9" customWidth="1"/>
    <col min="2565" max="2565" width="20.375" style="9" customWidth="1"/>
    <col min="2566" max="2566" width="19.625" style="9" customWidth="1"/>
    <col min="2567" max="2567" width="18.50390625" style="9" customWidth="1"/>
    <col min="2568" max="2816" width="9.00390625" style="9" customWidth="1"/>
    <col min="2817" max="2817" width="18.25390625" style="9" customWidth="1"/>
    <col min="2818" max="2818" width="18.375" style="9" customWidth="1"/>
    <col min="2819" max="2819" width="20.75390625" style="9" customWidth="1"/>
    <col min="2820" max="2820" width="20.50390625" style="9" customWidth="1"/>
    <col min="2821" max="2821" width="20.375" style="9" customWidth="1"/>
    <col min="2822" max="2822" width="19.625" style="9" customWidth="1"/>
    <col min="2823" max="2823" width="18.50390625" style="9" customWidth="1"/>
    <col min="2824" max="3072" width="9.00390625" style="9" customWidth="1"/>
    <col min="3073" max="3073" width="18.25390625" style="9" customWidth="1"/>
    <col min="3074" max="3074" width="18.375" style="9" customWidth="1"/>
    <col min="3075" max="3075" width="20.75390625" style="9" customWidth="1"/>
    <col min="3076" max="3076" width="20.50390625" style="9" customWidth="1"/>
    <col min="3077" max="3077" width="20.375" style="9" customWidth="1"/>
    <col min="3078" max="3078" width="19.625" style="9" customWidth="1"/>
    <col min="3079" max="3079" width="18.50390625" style="9" customWidth="1"/>
    <col min="3080" max="3328" width="9.00390625" style="9" customWidth="1"/>
    <col min="3329" max="3329" width="18.25390625" style="9" customWidth="1"/>
    <col min="3330" max="3330" width="18.375" style="9" customWidth="1"/>
    <col min="3331" max="3331" width="20.75390625" style="9" customWidth="1"/>
    <col min="3332" max="3332" width="20.50390625" style="9" customWidth="1"/>
    <col min="3333" max="3333" width="20.375" style="9" customWidth="1"/>
    <col min="3334" max="3334" width="19.625" style="9" customWidth="1"/>
    <col min="3335" max="3335" width="18.50390625" style="9" customWidth="1"/>
    <col min="3336" max="3584" width="9.00390625" style="9" customWidth="1"/>
    <col min="3585" max="3585" width="18.25390625" style="9" customWidth="1"/>
    <col min="3586" max="3586" width="18.375" style="9" customWidth="1"/>
    <col min="3587" max="3587" width="20.75390625" style="9" customWidth="1"/>
    <col min="3588" max="3588" width="20.50390625" style="9" customWidth="1"/>
    <col min="3589" max="3589" width="20.375" style="9" customWidth="1"/>
    <col min="3590" max="3590" width="19.625" style="9" customWidth="1"/>
    <col min="3591" max="3591" width="18.50390625" style="9" customWidth="1"/>
    <col min="3592" max="3840" width="9.00390625" style="9" customWidth="1"/>
    <col min="3841" max="3841" width="18.25390625" style="9" customWidth="1"/>
    <col min="3842" max="3842" width="18.375" style="9" customWidth="1"/>
    <col min="3843" max="3843" width="20.75390625" style="9" customWidth="1"/>
    <col min="3844" max="3844" width="20.50390625" style="9" customWidth="1"/>
    <col min="3845" max="3845" width="20.375" style="9" customWidth="1"/>
    <col min="3846" max="3846" width="19.625" style="9" customWidth="1"/>
    <col min="3847" max="3847" width="18.50390625" style="9" customWidth="1"/>
    <col min="3848" max="4096" width="9.00390625" style="9" customWidth="1"/>
    <col min="4097" max="4097" width="18.25390625" style="9" customWidth="1"/>
    <col min="4098" max="4098" width="18.375" style="9" customWidth="1"/>
    <col min="4099" max="4099" width="20.75390625" style="9" customWidth="1"/>
    <col min="4100" max="4100" width="20.50390625" style="9" customWidth="1"/>
    <col min="4101" max="4101" width="20.375" style="9" customWidth="1"/>
    <col min="4102" max="4102" width="19.625" style="9" customWidth="1"/>
    <col min="4103" max="4103" width="18.50390625" style="9" customWidth="1"/>
    <col min="4104" max="4352" width="9.00390625" style="9" customWidth="1"/>
    <col min="4353" max="4353" width="18.25390625" style="9" customWidth="1"/>
    <col min="4354" max="4354" width="18.375" style="9" customWidth="1"/>
    <col min="4355" max="4355" width="20.75390625" style="9" customWidth="1"/>
    <col min="4356" max="4356" width="20.50390625" style="9" customWidth="1"/>
    <col min="4357" max="4357" width="20.375" style="9" customWidth="1"/>
    <col min="4358" max="4358" width="19.625" style="9" customWidth="1"/>
    <col min="4359" max="4359" width="18.50390625" style="9" customWidth="1"/>
    <col min="4360" max="4608" width="9.00390625" style="9" customWidth="1"/>
    <col min="4609" max="4609" width="18.25390625" style="9" customWidth="1"/>
    <col min="4610" max="4610" width="18.375" style="9" customWidth="1"/>
    <col min="4611" max="4611" width="20.75390625" style="9" customWidth="1"/>
    <col min="4612" max="4612" width="20.50390625" style="9" customWidth="1"/>
    <col min="4613" max="4613" width="20.375" style="9" customWidth="1"/>
    <col min="4614" max="4614" width="19.625" style="9" customWidth="1"/>
    <col min="4615" max="4615" width="18.50390625" style="9" customWidth="1"/>
    <col min="4616" max="4864" width="9.00390625" style="9" customWidth="1"/>
    <col min="4865" max="4865" width="18.25390625" style="9" customWidth="1"/>
    <col min="4866" max="4866" width="18.375" style="9" customWidth="1"/>
    <col min="4867" max="4867" width="20.75390625" style="9" customWidth="1"/>
    <col min="4868" max="4868" width="20.50390625" style="9" customWidth="1"/>
    <col min="4869" max="4869" width="20.375" style="9" customWidth="1"/>
    <col min="4870" max="4870" width="19.625" style="9" customWidth="1"/>
    <col min="4871" max="4871" width="18.50390625" style="9" customWidth="1"/>
    <col min="4872" max="5120" width="9.00390625" style="9" customWidth="1"/>
    <col min="5121" max="5121" width="18.25390625" style="9" customWidth="1"/>
    <col min="5122" max="5122" width="18.375" style="9" customWidth="1"/>
    <col min="5123" max="5123" width="20.75390625" style="9" customWidth="1"/>
    <col min="5124" max="5124" width="20.50390625" style="9" customWidth="1"/>
    <col min="5125" max="5125" width="20.375" style="9" customWidth="1"/>
    <col min="5126" max="5126" width="19.625" style="9" customWidth="1"/>
    <col min="5127" max="5127" width="18.50390625" style="9" customWidth="1"/>
    <col min="5128" max="5376" width="9.00390625" style="9" customWidth="1"/>
    <col min="5377" max="5377" width="18.25390625" style="9" customWidth="1"/>
    <col min="5378" max="5378" width="18.375" style="9" customWidth="1"/>
    <col min="5379" max="5379" width="20.75390625" style="9" customWidth="1"/>
    <col min="5380" max="5380" width="20.50390625" style="9" customWidth="1"/>
    <col min="5381" max="5381" width="20.375" style="9" customWidth="1"/>
    <col min="5382" max="5382" width="19.625" style="9" customWidth="1"/>
    <col min="5383" max="5383" width="18.50390625" style="9" customWidth="1"/>
    <col min="5384" max="5632" width="9.00390625" style="9" customWidth="1"/>
    <col min="5633" max="5633" width="18.25390625" style="9" customWidth="1"/>
    <col min="5634" max="5634" width="18.375" style="9" customWidth="1"/>
    <col min="5635" max="5635" width="20.75390625" style="9" customWidth="1"/>
    <col min="5636" max="5636" width="20.50390625" style="9" customWidth="1"/>
    <col min="5637" max="5637" width="20.375" style="9" customWidth="1"/>
    <col min="5638" max="5638" width="19.625" style="9" customWidth="1"/>
    <col min="5639" max="5639" width="18.50390625" style="9" customWidth="1"/>
    <col min="5640" max="5888" width="9.00390625" style="9" customWidth="1"/>
    <col min="5889" max="5889" width="18.25390625" style="9" customWidth="1"/>
    <col min="5890" max="5890" width="18.375" style="9" customWidth="1"/>
    <col min="5891" max="5891" width="20.75390625" style="9" customWidth="1"/>
    <col min="5892" max="5892" width="20.50390625" style="9" customWidth="1"/>
    <col min="5893" max="5893" width="20.375" style="9" customWidth="1"/>
    <col min="5894" max="5894" width="19.625" style="9" customWidth="1"/>
    <col min="5895" max="5895" width="18.50390625" style="9" customWidth="1"/>
    <col min="5896" max="6144" width="9.00390625" style="9" customWidth="1"/>
    <col min="6145" max="6145" width="18.25390625" style="9" customWidth="1"/>
    <col min="6146" max="6146" width="18.375" style="9" customWidth="1"/>
    <col min="6147" max="6147" width="20.75390625" style="9" customWidth="1"/>
    <col min="6148" max="6148" width="20.50390625" style="9" customWidth="1"/>
    <col min="6149" max="6149" width="20.375" style="9" customWidth="1"/>
    <col min="6150" max="6150" width="19.625" style="9" customWidth="1"/>
    <col min="6151" max="6151" width="18.50390625" style="9" customWidth="1"/>
    <col min="6152" max="6400" width="9.00390625" style="9" customWidth="1"/>
    <col min="6401" max="6401" width="18.25390625" style="9" customWidth="1"/>
    <col min="6402" max="6402" width="18.375" style="9" customWidth="1"/>
    <col min="6403" max="6403" width="20.75390625" style="9" customWidth="1"/>
    <col min="6404" max="6404" width="20.50390625" style="9" customWidth="1"/>
    <col min="6405" max="6405" width="20.375" style="9" customWidth="1"/>
    <col min="6406" max="6406" width="19.625" style="9" customWidth="1"/>
    <col min="6407" max="6407" width="18.50390625" style="9" customWidth="1"/>
    <col min="6408" max="6656" width="9.00390625" style="9" customWidth="1"/>
    <col min="6657" max="6657" width="18.25390625" style="9" customWidth="1"/>
    <col min="6658" max="6658" width="18.375" style="9" customWidth="1"/>
    <col min="6659" max="6659" width="20.75390625" style="9" customWidth="1"/>
    <col min="6660" max="6660" width="20.50390625" style="9" customWidth="1"/>
    <col min="6661" max="6661" width="20.375" style="9" customWidth="1"/>
    <col min="6662" max="6662" width="19.625" style="9" customWidth="1"/>
    <col min="6663" max="6663" width="18.50390625" style="9" customWidth="1"/>
    <col min="6664" max="6912" width="9.00390625" style="9" customWidth="1"/>
    <col min="6913" max="6913" width="18.25390625" style="9" customWidth="1"/>
    <col min="6914" max="6914" width="18.375" style="9" customWidth="1"/>
    <col min="6915" max="6915" width="20.75390625" style="9" customWidth="1"/>
    <col min="6916" max="6916" width="20.50390625" style="9" customWidth="1"/>
    <col min="6917" max="6917" width="20.375" style="9" customWidth="1"/>
    <col min="6918" max="6918" width="19.625" style="9" customWidth="1"/>
    <col min="6919" max="6919" width="18.50390625" style="9" customWidth="1"/>
    <col min="6920" max="7168" width="9.00390625" style="9" customWidth="1"/>
    <col min="7169" max="7169" width="18.25390625" style="9" customWidth="1"/>
    <col min="7170" max="7170" width="18.375" style="9" customWidth="1"/>
    <col min="7171" max="7171" width="20.75390625" style="9" customWidth="1"/>
    <col min="7172" max="7172" width="20.50390625" style="9" customWidth="1"/>
    <col min="7173" max="7173" width="20.375" style="9" customWidth="1"/>
    <col min="7174" max="7174" width="19.625" style="9" customWidth="1"/>
    <col min="7175" max="7175" width="18.50390625" style="9" customWidth="1"/>
    <col min="7176" max="7424" width="9.00390625" style="9" customWidth="1"/>
    <col min="7425" max="7425" width="18.25390625" style="9" customWidth="1"/>
    <col min="7426" max="7426" width="18.375" style="9" customWidth="1"/>
    <col min="7427" max="7427" width="20.75390625" style="9" customWidth="1"/>
    <col min="7428" max="7428" width="20.50390625" style="9" customWidth="1"/>
    <col min="7429" max="7429" width="20.375" style="9" customWidth="1"/>
    <col min="7430" max="7430" width="19.625" style="9" customWidth="1"/>
    <col min="7431" max="7431" width="18.50390625" style="9" customWidth="1"/>
    <col min="7432" max="7680" width="9.00390625" style="9" customWidth="1"/>
    <col min="7681" max="7681" width="18.25390625" style="9" customWidth="1"/>
    <col min="7682" max="7682" width="18.375" style="9" customWidth="1"/>
    <col min="7683" max="7683" width="20.75390625" style="9" customWidth="1"/>
    <col min="7684" max="7684" width="20.50390625" style="9" customWidth="1"/>
    <col min="7685" max="7685" width="20.375" style="9" customWidth="1"/>
    <col min="7686" max="7686" width="19.625" style="9" customWidth="1"/>
    <col min="7687" max="7687" width="18.50390625" style="9" customWidth="1"/>
    <col min="7688" max="7936" width="9.00390625" style="9" customWidth="1"/>
    <col min="7937" max="7937" width="18.25390625" style="9" customWidth="1"/>
    <col min="7938" max="7938" width="18.375" style="9" customWidth="1"/>
    <col min="7939" max="7939" width="20.75390625" style="9" customWidth="1"/>
    <col min="7940" max="7940" width="20.50390625" style="9" customWidth="1"/>
    <col min="7941" max="7941" width="20.375" style="9" customWidth="1"/>
    <col min="7942" max="7942" width="19.625" style="9" customWidth="1"/>
    <col min="7943" max="7943" width="18.50390625" style="9" customWidth="1"/>
    <col min="7944" max="8192" width="9.00390625" style="9" customWidth="1"/>
    <col min="8193" max="8193" width="18.25390625" style="9" customWidth="1"/>
    <col min="8194" max="8194" width="18.375" style="9" customWidth="1"/>
    <col min="8195" max="8195" width="20.75390625" style="9" customWidth="1"/>
    <col min="8196" max="8196" width="20.50390625" style="9" customWidth="1"/>
    <col min="8197" max="8197" width="20.375" style="9" customWidth="1"/>
    <col min="8198" max="8198" width="19.625" style="9" customWidth="1"/>
    <col min="8199" max="8199" width="18.50390625" style="9" customWidth="1"/>
    <col min="8200" max="8448" width="9.00390625" style="9" customWidth="1"/>
    <col min="8449" max="8449" width="18.25390625" style="9" customWidth="1"/>
    <col min="8450" max="8450" width="18.375" style="9" customWidth="1"/>
    <col min="8451" max="8451" width="20.75390625" style="9" customWidth="1"/>
    <col min="8452" max="8452" width="20.50390625" style="9" customWidth="1"/>
    <col min="8453" max="8453" width="20.375" style="9" customWidth="1"/>
    <col min="8454" max="8454" width="19.625" style="9" customWidth="1"/>
    <col min="8455" max="8455" width="18.50390625" style="9" customWidth="1"/>
    <col min="8456" max="8704" width="9.00390625" style="9" customWidth="1"/>
    <col min="8705" max="8705" width="18.25390625" style="9" customWidth="1"/>
    <col min="8706" max="8706" width="18.375" style="9" customWidth="1"/>
    <col min="8707" max="8707" width="20.75390625" style="9" customWidth="1"/>
    <col min="8708" max="8708" width="20.50390625" style="9" customWidth="1"/>
    <col min="8709" max="8709" width="20.375" style="9" customWidth="1"/>
    <col min="8710" max="8710" width="19.625" style="9" customWidth="1"/>
    <col min="8711" max="8711" width="18.50390625" style="9" customWidth="1"/>
    <col min="8712" max="8960" width="9.00390625" style="9" customWidth="1"/>
    <col min="8961" max="8961" width="18.25390625" style="9" customWidth="1"/>
    <col min="8962" max="8962" width="18.375" style="9" customWidth="1"/>
    <col min="8963" max="8963" width="20.75390625" style="9" customWidth="1"/>
    <col min="8964" max="8964" width="20.50390625" style="9" customWidth="1"/>
    <col min="8965" max="8965" width="20.375" style="9" customWidth="1"/>
    <col min="8966" max="8966" width="19.625" style="9" customWidth="1"/>
    <col min="8967" max="8967" width="18.50390625" style="9" customWidth="1"/>
    <col min="8968" max="9216" width="9.00390625" style="9" customWidth="1"/>
    <col min="9217" max="9217" width="18.25390625" style="9" customWidth="1"/>
    <col min="9218" max="9218" width="18.375" style="9" customWidth="1"/>
    <col min="9219" max="9219" width="20.75390625" style="9" customWidth="1"/>
    <col min="9220" max="9220" width="20.50390625" style="9" customWidth="1"/>
    <col min="9221" max="9221" width="20.375" style="9" customWidth="1"/>
    <col min="9222" max="9222" width="19.625" style="9" customWidth="1"/>
    <col min="9223" max="9223" width="18.50390625" style="9" customWidth="1"/>
    <col min="9224" max="9472" width="9.00390625" style="9" customWidth="1"/>
    <col min="9473" max="9473" width="18.25390625" style="9" customWidth="1"/>
    <col min="9474" max="9474" width="18.375" style="9" customWidth="1"/>
    <col min="9475" max="9475" width="20.75390625" style="9" customWidth="1"/>
    <col min="9476" max="9476" width="20.50390625" style="9" customWidth="1"/>
    <col min="9477" max="9477" width="20.375" style="9" customWidth="1"/>
    <col min="9478" max="9478" width="19.625" style="9" customWidth="1"/>
    <col min="9479" max="9479" width="18.50390625" style="9" customWidth="1"/>
    <col min="9480" max="9728" width="9.00390625" style="9" customWidth="1"/>
    <col min="9729" max="9729" width="18.25390625" style="9" customWidth="1"/>
    <col min="9730" max="9730" width="18.375" style="9" customWidth="1"/>
    <col min="9731" max="9731" width="20.75390625" style="9" customWidth="1"/>
    <col min="9732" max="9732" width="20.50390625" style="9" customWidth="1"/>
    <col min="9733" max="9733" width="20.375" style="9" customWidth="1"/>
    <col min="9734" max="9734" width="19.625" style="9" customWidth="1"/>
    <col min="9735" max="9735" width="18.50390625" style="9" customWidth="1"/>
    <col min="9736" max="9984" width="9.00390625" style="9" customWidth="1"/>
    <col min="9985" max="9985" width="18.25390625" style="9" customWidth="1"/>
    <col min="9986" max="9986" width="18.375" style="9" customWidth="1"/>
    <col min="9987" max="9987" width="20.75390625" style="9" customWidth="1"/>
    <col min="9988" max="9988" width="20.50390625" style="9" customWidth="1"/>
    <col min="9989" max="9989" width="20.375" style="9" customWidth="1"/>
    <col min="9990" max="9990" width="19.625" style="9" customWidth="1"/>
    <col min="9991" max="9991" width="18.50390625" style="9" customWidth="1"/>
    <col min="9992" max="10240" width="9.00390625" style="9" customWidth="1"/>
    <col min="10241" max="10241" width="18.25390625" style="9" customWidth="1"/>
    <col min="10242" max="10242" width="18.375" style="9" customWidth="1"/>
    <col min="10243" max="10243" width="20.75390625" style="9" customWidth="1"/>
    <col min="10244" max="10244" width="20.50390625" style="9" customWidth="1"/>
    <col min="10245" max="10245" width="20.375" style="9" customWidth="1"/>
    <col min="10246" max="10246" width="19.625" style="9" customWidth="1"/>
    <col min="10247" max="10247" width="18.50390625" style="9" customWidth="1"/>
    <col min="10248" max="10496" width="9.00390625" style="9" customWidth="1"/>
    <col min="10497" max="10497" width="18.25390625" style="9" customWidth="1"/>
    <col min="10498" max="10498" width="18.375" style="9" customWidth="1"/>
    <col min="10499" max="10499" width="20.75390625" style="9" customWidth="1"/>
    <col min="10500" max="10500" width="20.50390625" style="9" customWidth="1"/>
    <col min="10501" max="10501" width="20.375" style="9" customWidth="1"/>
    <col min="10502" max="10502" width="19.625" style="9" customWidth="1"/>
    <col min="10503" max="10503" width="18.50390625" style="9" customWidth="1"/>
    <col min="10504" max="10752" width="9.00390625" style="9" customWidth="1"/>
    <col min="10753" max="10753" width="18.25390625" style="9" customWidth="1"/>
    <col min="10754" max="10754" width="18.375" style="9" customWidth="1"/>
    <col min="10755" max="10755" width="20.75390625" style="9" customWidth="1"/>
    <col min="10756" max="10756" width="20.50390625" style="9" customWidth="1"/>
    <col min="10757" max="10757" width="20.375" style="9" customWidth="1"/>
    <col min="10758" max="10758" width="19.625" style="9" customWidth="1"/>
    <col min="10759" max="10759" width="18.50390625" style="9" customWidth="1"/>
    <col min="10760" max="11008" width="9.00390625" style="9" customWidth="1"/>
    <col min="11009" max="11009" width="18.25390625" style="9" customWidth="1"/>
    <col min="11010" max="11010" width="18.375" style="9" customWidth="1"/>
    <col min="11011" max="11011" width="20.75390625" style="9" customWidth="1"/>
    <col min="11012" max="11012" width="20.50390625" style="9" customWidth="1"/>
    <col min="11013" max="11013" width="20.375" style="9" customWidth="1"/>
    <col min="11014" max="11014" width="19.625" style="9" customWidth="1"/>
    <col min="11015" max="11015" width="18.50390625" style="9" customWidth="1"/>
    <col min="11016" max="11264" width="9.00390625" style="9" customWidth="1"/>
    <col min="11265" max="11265" width="18.25390625" style="9" customWidth="1"/>
    <col min="11266" max="11266" width="18.375" style="9" customWidth="1"/>
    <col min="11267" max="11267" width="20.75390625" style="9" customWidth="1"/>
    <col min="11268" max="11268" width="20.50390625" style="9" customWidth="1"/>
    <col min="11269" max="11269" width="20.375" style="9" customWidth="1"/>
    <col min="11270" max="11270" width="19.625" style="9" customWidth="1"/>
    <col min="11271" max="11271" width="18.50390625" style="9" customWidth="1"/>
    <col min="11272" max="11520" width="9.00390625" style="9" customWidth="1"/>
    <col min="11521" max="11521" width="18.25390625" style="9" customWidth="1"/>
    <col min="11522" max="11522" width="18.375" style="9" customWidth="1"/>
    <col min="11523" max="11523" width="20.75390625" style="9" customWidth="1"/>
    <col min="11524" max="11524" width="20.50390625" style="9" customWidth="1"/>
    <col min="11525" max="11525" width="20.375" style="9" customWidth="1"/>
    <col min="11526" max="11526" width="19.625" style="9" customWidth="1"/>
    <col min="11527" max="11527" width="18.50390625" style="9" customWidth="1"/>
    <col min="11528" max="11776" width="9.00390625" style="9" customWidth="1"/>
    <col min="11777" max="11777" width="18.25390625" style="9" customWidth="1"/>
    <col min="11778" max="11778" width="18.375" style="9" customWidth="1"/>
    <col min="11779" max="11779" width="20.75390625" style="9" customWidth="1"/>
    <col min="11780" max="11780" width="20.50390625" style="9" customWidth="1"/>
    <col min="11781" max="11781" width="20.375" style="9" customWidth="1"/>
    <col min="11782" max="11782" width="19.625" style="9" customWidth="1"/>
    <col min="11783" max="11783" width="18.50390625" style="9" customWidth="1"/>
    <col min="11784" max="12032" width="9.00390625" style="9" customWidth="1"/>
    <col min="12033" max="12033" width="18.25390625" style="9" customWidth="1"/>
    <col min="12034" max="12034" width="18.375" style="9" customWidth="1"/>
    <col min="12035" max="12035" width="20.75390625" style="9" customWidth="1"/>
    <col min="12036" max="12036" width="20.50390625" style="9" customWidth="1"/>
    <col min="12037" max="12037" width="20.375" style="9" customWidth="1"/>
    <col min="12038" max="12038" width="19.625" style="9" customWidth="1"/>
    <col min="12039" max="12039" width="18.50390625" style="9" customWidth="1"/>
    <col min="12040" max="12288" width="9.00390625" style="9" customWidth="1"/>
    <col min="12289" max="12289" width="18.25390625" style="9" customWidth="1"/>
    <col min="12290" max="12290" width="18.375" style="9" customWidth="1"/>
    <col min="12291" max="12291" width="20.75390625" style="9" customWidth="1"/>
    <col min="12292" max="12292" width="20.50390625" style="9" customWidth="1"/>
    <col min="12293" max="12293" width="20.375" style="9" customWidth="1"/>
    <col min="12294" max="12294" width="19.625" style="9" customWidth="1"/>
    <col min="12295" max="12295" width="18.50390625" style="9" customWidth="1"/>
    <col min="12296" max="12544" width="9.00390625" style="9" customWidth="1"/>
    <col min="12545" max="12545" width="18.25390625" style="9" customWidth="1"/>
    <col min="12546" max="12546" width="18.375" style="9" customWidth="1"/>
    <col min="12547" max="12547" width="20.75390625" style="9" customWidth="1"/>
    <col min="12548" max="12548" width="20.50390625" style="9" customWidth="1"/>
    <col min="12549" max="12549" width="20.375" style="9" customWidth="1"/>
    <col min="12550" max="12550" width="19.625" style="9" customWidth="1"/>
    <col min="12551" max="12551" width="18.50390625" style="9" customWidth="1"/>
    <col min="12552" max="12800" width="9.00390625" style="9" customWidth="1"/>
    <col min="12801" max="12801" width="18.25390625" style="9" customWidth="1"/>
    <col min="12802" max="12802" width="18.375" style="9" customWidth="1"/>
    <col min="12803" max="12803" width="20.75390625" style="9" customWidth="1"/>
    <col min="12804" max="12804" width="20.50390625" style="9" customWidth="1"/>
    <col min="12805" max="12805" width="20.375" style="9" customWidth="1"/>
    <col min="12806" max="12806" width="19.625" style="9" customWidth="1"/>
    <col min="12807" max="12807" width="18.50390625" style="9" customWidth="1"/>
    <col min="12808" max="13056" width="9.00390625" style="9" customWidth="1"/>
    <col min="13057" max="13057" width="18.25390625" style="9" customWidth="1"/>
    <col min="13058" max="13058" width="18.375" style="9" customWidth="1"/>
    <col min="13059" max="13059" width="20.75390625" style="9" customWidth="1"/>
    <col min="13060" max="13060" width="20.50390625" style="9" customWidth="1"/>
    <col min="13061" max="13061" width="20.375" style="9" customWidth="1"/>
    <col min="13062" max="13062" width="19.625" style="9" customWidth="1"/>
    <col min="13063" max="13063" width="18.50390625" style="9" customWidth="1"/>
    <col min="13064" max="13312" width="9.00390625" style="9" customWidth="1"/>
    <col min="13313" max="13313" width="18.25390625" style="9" customWidth="1"/>
    <col min="13314" max="13314" width="18.375" style="9" customWidth="1"/>
    <col min="13315" max="13315" width="20.75390625" style="9" customWidth="1"/>
    <col min="13316" max="13316" width="20.50390625" style="9" customWidth="1"/>
    <col min="13317" max="13317" width="20.375" style="9" customWidth="1"/>
    <col min="13318" max="13318" width="19.625" style="9" customWidth="1"/>
    <col min="13319" max="13319" width="18.50390625" style="9" customWidth="1"/>
    <col min="13320" max="13568" width="9.00390625" style="9" customWidth="1"/>
    <col min="13569" max="13569" width="18.25390625" style="9" customWidth="1"/>
    <col min="13570" max="13570" width="18.375" style="9" customWidth="1"/>
    <col min="13571" max="13571" width="20.75390625" style="9" customWidth="1"/>
    <col min="13572" max="13572" width="20.50390625" style="9" customWidth="1"/>
    <col min="13573" max="13573" width="20.375" style="9" customWidth="1"/>
    <col min="13574" max="13574" width="19.625" style="9" customWidth="1"/>
    <col min="13575" max="13575" width="18.50390625" style="9" customWidth="1"/>
    <col min="13576" max="13824" width="9.00390625" style="9" customWidth="1"/>
    <col min="13825" max="13825" width="18.25390625" style="9" customWidth="1"/>
    <col min="13826" max="13826" width="18.375" style="9" customWidth="1"/>
    <col min="13827" max="13827" width="20.75390625" style="9" customWidth="1"/>
    <col min="13828" max="13828" width="20.50390625" style="9" customWidth="1"/>
    <col min="13829" max="13829" width="20.375" style="9" customWidth="1"/>
    <col min="13830" max="13830" width="19.625" style="9" customWidth="1"/>
    <col min="13831" max="13831" width="18.50390625" style="9" customWidth="1"/>
    <col min="13832" max="14080" width="9.00390625" style="9" customWidth="1"/>
    <col min="14081" max="14081" width="18.25390625" style="9" customWidth="1"/>
    <col min="14082" max="14082" width="18.375" style="9" customWidth="1"/>
    <col min="14083" max="14083" width="20.75390625" style="9" customWidth="1"/>
    <col min="14084" max="14084" width="20.50390625" style="9" customWidth="1"/>
    <col min="14085" max="14085" width="20.375" style="9" customWidth="1"/>
    <col min="14086" max="14086" width="19.625" style="9" customWidth="1"/>
    <col min="14087" max="14087" width="18.50390625" style="9" customWidth="1"/>
    <col min="14088" max="14336" width="9.00390625" style="9" customWidth="1"/>
    <col min="14337" max="14337" width="18.25390625" style="9" customWidth="1"/>
    <col min="14338" max="14338" width="18.375" style="9" customWidth="1"/>
    <col min="14339" max="14339" width="20.75390625" style="9" customWidth="1"/>
    <col min="14340" max="14340" width="20.50390625" style="9" customWidth="1"/>
    <col min="14341" max="14341" width="20.375" style="9" customWidth="1"/>
    <col min="14342" max="14342" width="19.625" style="9" customWidth="1"/>
    <col min="14343" max="14343" width="18.50390625" style="9" customWidth="1"/>
    <col min="14344" max="14592" width="9.00390625" style="9" customWidth="1"/>
    <col min="14593" max="14593" width="18.25390625" style="9" customWidth="1"/>
    <col min="14594" max="14594" width="18.375" style="9" customWidth="1"/>
    <col min="14595" max="14595" width="20.75390625" style="9" customWidth="1"/>
    <col min="14596" max="14596" width="20.50390625" style="9" customWidth="1"/>
    <col min="14597" max="14597" width="20.375" style="9" customWidth="1"/>
    <col min="14598" max="14598" width="19.625" style="9" customWidth="1"/>
    <col min="14599" max="14599" width="18.50390625" style="9" customWidth="1"/>
    <col min="14600" max="14848" width="9.00390625" style="9" customWidth="1"/>
    <col min="14849" max="14849" width="18.25390625" style="9" customWidth="1"/>
    <col min="14850" max="14850" width="18.375" style="9" customWidth="1"/>
    <col min="14851" max="14851" width="20.75390625" style="9" customWidth="1"/>
    <col min="14852" max="14852" width="20.50390625" style="9" customWidth="1"/>
    <col min="14853" max="14853" width="20.375" style="9" customWidth="1"/>
    <col min="14854" max="14854" width="19.625" style="9" customWidth="1"/>
    <col min="14855" max="14855" width="18.50390625" style="9" customWidth="1"/>
    <col min="14856" max="15104" width="9.00390625" style="9" customWidth="1"/>
    <col min="15105" max="15105" width="18.25390625" style="9" customWidth="1"/>
    <col min="15106" max="15106" width="18.375" style="9" customWidth="1"/>
    <col min="15107" max="15107" width="20.75390625" style="9" customWidth="1"/>
    <col min="15108" max="15108" width="20.50390625" style="9" customWidth="1"/>
    <col min="15109" max="15109" width="20.375" style="9" customWidth="1"/>
    <col min="15110" max="15110" width="19.625" style="9" customWidth="1"/>
    <col min="15111" max="15111" width="18.50390625" style="9" customWidth="1"/>
    <col min="15112" max="15360" width="9.00390625" style="9" customWidth="1"/>
    <col min="15361" max="15361" width="18.25390625" style="9" customWidth="1"/>
    <col min="15362" max="15362" width="18.375" style="9" customWidth="1"/>
    <col min="15363" max="15363" width="20.75390625" style="9" customWidth="1"/>
    <col min="15364" max="15364" width="20.50390625" style="9" customWidth="1"/>
    <col min="15365" max="15365" width="20.375" style="9" customWidth="1"/>
    <col min="15366" max="15366" width="19.625" style="9" customWidth="1"/>
    <col min="15367" max="15367" width="18.50390625" style="9" customWidth="1"/>
    <col min="15368" max="15616" width="9.00390625" style="9" customWidth="1"/>
    <col min="15617" max="15617" width="18.25390625" style="9" customWidth="1"/>
    <col min="15618" max="15618" width="18.375" style="9" customWidth="1"/>
    <col min="15619" max="15619" width="20.75390625" style="9" customWidth="1"/>
    <col min="15620" max="15620" width="20.50390625" style="9" customWidth="1"/>
    <col min="15621" max="15621" width="20.375" style="9" customWidth="1"/>
    <col min="15622" max="15622" width="19.625" style="9" customWidth="1"/>
    <col min="15623" max="15623" width="18.50390625" style="9" customWidth="1"/>
    <col min="15624" max="15872" width="9.00390625" style="9" customWidth="1"/>
    <col min="15873" max="15873" width="18.25390625" style="9" customWidth="1"/>
    <col min="15874" max="15874" width="18.375" style="9" customWidth="1"/>
    <col min="15875" max="15875" width="20.75390625" style="9" customWidth="1"/>
    <col min="15876" max="15876" width="20.50390625" style="9" customWidth="1"/>
    <col min="15877" max="15877" width="20.375" style="9" customWidth="1"/>
    <col min="15878" max="15878" width="19.625" style="9" customWidth="1"/>
    <col min="15879" max="15879" width="18.50390625" style="9" customWidth="1"/>
    <col min="15880" max="16128" width="9.00390625" style="9" customWidth="1"/>
    <col min="16129" max="16129" width="18.25390625" style="9" customWidth="1"/>
    <col min="16130" max="16130" width="18.375" style="9" customWidth="1"/>
    <col min="16131" max="16131" width="20.75390625" style="9" customWidth="1"/>
    <col min="16132" max="16132" width="20.50390625" style="9" customWidth="1"/>
    <col min="16133" max="16133" width="20.375" style="9" customWidth="1"/>
    <col min="16134" max="16134" width="19.625" style="9" customWidth="1"/>
    <col min="16135" max="16135" width="18.50390625" style="9" customWidth="1"/>
    <col min="16136" max="16384" width="9.00390625" style="9" customWidth="1"/>
  </cols>
  <sheetData>
    <row r="1" spans="1:7" ht="32.25" customHeight="1">
      <c r="A1" s="993" t="s">
        <v>1169</v>
      </c>
      <c r="B1" s="994"/>
      <c r="C1" s="994"/>
      <c r="D1" s="994"/>
      <c r="E1" s="994"/>
      <c r="F1" s="994"/>
      <c r="G1" s="994"/>
    </row>
    <row r="2" spans="1:7" ht="14.25" customHeight="1">
      <c r="A2" s="995" t="s">
        <v>1170</v>
      </c>
      <c r="B2" s="995"/>
      <c r="C2" s="995"/>
      <c r="D2" s="995"/>
      <c r="E2" s="995"/>
      <c r="F2" s="995"/>
      <c r="G2" s="995"/>
    </row>
    <row r="3" spans="1:7" s="72" customFormat="1" ht="25.5" customHeight="1">
      <c r="A3" s="1080" t="s">
        <v>1171</v>
      </c>
      <c r="B3" s="1081"/>
      <c r="C3" s="1081"/>
      <c r="D3" s="1081"/>
      <c r="E3" s="1081"/>
      <c r="F3" s="1081"/>
      <c r="G3" s="1082"/>
    </row>
    <row r="4" spans="1:7" s="73" customFormat="1" ht="18" customHeight="1">
      <c r="A4" s="999" t="s">
        <v>1172</v>
      </c>
      <c r="B4" s="1000"/>
      <c r="C4" s="1001"/>
      <c r="D4" s="572" t="s">
        <v>1652</v>
      </c>
      <c r="E4" s="572" t="s">
        <v>1173</v>
      </c>
      <c r="F4" s="572" t="s">
        <v>1174</v>
      </c>
      <c r="G4" s="992" t="s">
        <v>1175</v>
      </c>
    </row>
    <row r="5" spans="1:7" s="73" customFormat="1" ht="17.25" customHeight="1">
      <c r="A5" s="675" t="s">
        <v>1176</v>
      </c>
      <c r="B5" s="675" t="s">
        <v>1177</v>
      </c>
      <c r="C5" s="675" t="s">
        <v>1178</v>
      </c>
      <c r="D5" s="623" t="s">
        <v>1179</v>
      </c>
      <c r="E5" s="623" t="s">
        <v>1180</v>
      </c>
      <c r="F5" s="623" t="s">
        <v>1181</v>
      </c>
      <c r="G5" s="992"/>
    </row>
    <row r="6" spans="1:7" s="366" customFormat="1" ht="11.25">
      <c r="A6" s="334">
        <v>4100</v>
      </c>
      <c r="B6" s="589"/>
      <c r="C6" s="589"/>
      <c r="D6" s="605"/>
      <c r="E6" s="605"/>
      <c r="F6" s="589"/>
      <c r="G6" s="589"/>
    </row>
    <row r="7" spans="1:7" s="597" customFormat="1" ht="11.25">
      <c r="A7" s="684" t="s">
        <v>1182</v>
      </c>
      <c r="B7" s="685"/>
      <c r="C7" s="367"/>
      <c r="D7" s="606">
        <v>0</v>
      </c>
      <c r="E7" s="606">
        <f>E9</f>
        <v>43200000</v>
      </c>
      <c r="F7" s="573">
        <f>D7-E7</f>
        <v>-43200000</v>
      </c>
      <c r="G7" s="317" t="s">
        <v>1183</v>
      </c>
    </row>
    <row r="8" spans="1:7" s="371" customFormat="1" ht="11.25">
      <c r="A8" s="591"/>
      <c r="B8" s="590">
        <v>4120</v>
      </c>
      <c r="C8" s="595"/>
      <c r="D8" s="609"/>
      <c r="E8" s="609"/>
      <c r="F8" s="577"/>
      <c r="G8" s="577"/>
    </row>
    <row r="9" spans="1:7" s="597" customFormat="1" ht="11.25">
      <c r="A9" s="591"/>
      <c r="B9" s="684" t="s">
        <v>1186</v>
      </c>
      <c r="C9" s="592"/>
      <c r="D9" s="606">
        <v>0</v>
      </c>
      <c r="E9" s="606">
        <f>SUM(E10:E11)</f>
        <v>43200000</v>
      </c>
      <c r="F9" s="573">
        <f>D9-E9</f>
        <v>-43200000</v>
      </c>
      <c r="G9" s="573"/>
    </row>
    <row r="10" spans="1:7" s="371" customFormat="1" ht="11.25">
      <c r="A10" s="591"/>
      <c r="B10" s="591"/>
      <c r="C10" s="594">
        <v>4125</v>
      </c>
      <c r="D10" s="609"/>
      <c r="E10" s="609"/>
      <c r="F10" s="577"/>
      <c r="G10" s="577"/>
    </row>
    <row r="11" spans="1:7" s="597" customFormat="1" ht="11.25">
      <c r="A11" s="591"/>
      <c r="B11" s="591"/>
      <c r="C11" s="592" t="s">
        <v>1397</v>
      </c>
      <c r="D11" s="606">
        <v>0</v>
      </c>
      <c r="E11" s="606">
        <v>43200000</v>
      </c>
      <c r="F11" s="573">
        <f>D11-E11</f>
        <v>-43200000</v>
      </c>
      <c r="G11" s="573"/>
    </row>
    <row r="12" spans="1:7" s="597" customFormat="1" ht="11.25">
      <c r="A12" s="590">
        <v>4200</v>
      </c>
      <c r="B12" s="686"/>
      <c r="C12" s="595"/>
      <c r="D12" s="609"/>
      <c r="E12" s="609"/>
      <c r="F12" s="577"/>
      <c r="G12" s="577"/>
    </row>
    <row r="13" spans="1:7" s="597" customFormat="1" ht="11.25">
      <c r="A13" s="684" t="s">
        <v>1398</v>
      </c>
      <c r="B13" s="685"/>
      <c r="C13" s="592"/>
      <c r="D13" s="606">
        <f>SUM(D15+D27+D41)</f>
        <v>284900000</v>
      </c>
      <c r="E13" s="606">
        <f>SUM(E15+E27+E41)</f>
        <v>270810000</v>
      </c>
      <c r="F13" s="573">
        <f>D13-E13</f>
        <v>14090000</v>
      </c>
      <c r="G13" s="573"/>
    </row>
    <row r="14" spans="1:7" s="371" customFormat="1" ht="11.25">
      <c r="A14" s="684"/>
      <c r="B14" s="590">
        <v>4210</v>
      </c>
      <c r="C14" s="596"/>
      <c r="D14" s="607"/>
      <c r="E14" s="607"/>
      <c r="F14" s="580"/>
      <c r="G14" s="580"/>
    </row>
    <row r="15" spans="1:7" s="597" customFormat="1" ht="11.25">
      <c r="A15" s="684"/>
      <c r="B15" s="684" t="s">
        <v>1399</v>
      </c>
      <c r="C15" s="592"/>
      <c r="D15" s="606">
        <f>SUM(D17:D25)</f>
        <v>131532000</v>
      </c>
      <c r="E15" s="606">
        <f>SUM(E17:E25)</f>
        <v>118652000</v>
      </c>
      <c r="F15" s="573">
        <f>D15-E15</f>
        <v>12880000</v>
      </c>
      <c r="G15" s="573"/>
    </row>
    <row r="16" spans="1:7" s="374" customFormat="1" ht="11.25">
      <c r="A16" s="360"/>
      <c r="B16" s="591"/>
      <c r="C16" s="594">
        <v>4211</v>
      </c>
      <c r="D16" s="615"/>
      <c r="E16" s="615"/>
      <c r="F16" s="574"/>
      <c r="G16" s="574"/>
    </row>
    <row r="17" spans="1:7" s="597" customFormat="1" ht="11.25">
      <c r="A17" s="591"/>
      <c r="B17" s="591"/>
      <c r="C17" s="592" t="s">
        <v>1400</v>
      </c>
      <c r="D17" s="606">
        <v>18000000</v>
      </c>
      <c r="E17" s="606">
        <v>3500000</v>
      </c>
      <c r="F17" s="573">
        <f>D17-E17</f>
        <v>14500000</v>
      </c>
      <c r="G17" s="573"/>
    </row>
    <row r="18" spans="1:7" s="374" customFormat="1" ht="11.25">
      <c r="A18" s="360"/>
      <c r="B18" s="591"/>
      <c r="C18" s="594">
        <v>4212</v>
      </c>
      <c r="D18" s="615"/>
      <c r="E18" s="615"/>
      <c r="F18" s="574"/>
      <c r="G18" s="574"/>
    </row>
    <row r="19" spans="1:7" s="597" customFormat="1" ht="11.25">
      <c r="A19" s="591"/>
      <c r="B19" s="591"/>
      <c r="C19" s="592" t="s">
        <v>1401</v>
      </c>
      <c r="D19" s="606">
        <v>500000</v>
      </c>
      <c r="E19" s="606">
        <v>1000000</v>
      </c>
      <c r="F19" s="573">
        <f>D19-E19</f>
        <v>-500000</v>
      </c>
      <c r="G19" s="573"/>
    </row>
    <row r="20" spans="1:7" s="597" customFormat="1" ht="11.25">
      <c r="A20" s="591"/>
      <c r="B20" s="591"/>
      <c r="C20" s="594">
        <v>4213</v>
      </c>
      <c r="D20" s="607"/>
      <c r="E20" s="607"/>
      <c r="F20" s="580"/>
      <c r="G20" s="580"/>
    </row>
    <row r="21" spans="1:7" s="597" customFormat="1" ht="11.25">
      <c r="A21" s="591"/>
      <c r="B21" s="591"/>
      <c r="C21" s="592" t="s">
        <v>1402</v>
      </c>
      <c r="D21" s="607">
        <v>0</v>
      </c>
      <c r="E21" s="607">
        <v>1000000</v>
      </c>
      <c r="F21" s="580"/>
      <c r="G21" s="580"/>
    </row>
    <row r="22" spans="1:7" s="374" customFormat="1" ht="11.25">
      <c r="A22" s="360"/>
      <c r="B22" s="591"/>
      <c r="C22" s="594">
        <v>4215</v>
      </c>
      <c r="D22" s="615"/>
      <c r="E22" s="615"/>
      <c r="F22" s="574"/>
      <c r="G22" s="574"/>
    </row>
    <row r="23" spans="1:7" s="597" customFormat="1" ht="11.25">
      <c r="A23" s="591"/>
      <c r="B23" s="591"/>
      <c r="C23" s="592" t="s">
        <v>1403</v>
      </c>
      <c r="D23" s="606">
        <v>112152000</v>
      </c>
      <c r="E23" s="606">
        <v>112152000</v>
      </c>
      <c r="F23" s="573">
        <f>D23-E23</f>
        <v>0</v>
      </c>
      <c r="G23" s="573"/>
    </row>
    <row r="24" spans="1:7" s="374" customFormat="1" ht="11.25">
      <c r="A24" s="360"/>
      <c r="B24" s="360"/>
      <c r="C24" s="594">
        <v>4216</v>
      </c>
      <c r="D24" s="615"/>
      <c r="E24" s="615"/>
      <c r="F24" s="574"/>
      <c r="G24" s="574"/>
    </row>
    <row r="25" spans="1:7" s="597" customFormat="1" ht="14.25" customHeight="1">
      <c r="A25" s="591"/>
      <c r="B25" s="692"/>
      <c r="C25" s="592" t="s">
        <v>1404</v>
      </c>
      <c r="D25" s="606">
        <v>880000</v>
      </c>
      <c r="E25" s="606">
        <v>1000000</v>
      </c>
      <c r="F25" s="573">
        <f>D25-E25</f>
        <v>-120000</v>
      </c>
      <c r="G25" s="573"/>
    </row>
    <row r="26" spans="1:7" s="374" customFormat="1" ht="11.25">
      <c r="A26" s="360"/>
      <c r="B26" s="590">
        <v>4220</v>
      </c>
      <c r="C26" s="593"/>
      <c r="D26" s="608"/>
      <c r="E26" s="608"/>
      <c r="F26" s="600"/>
      <c r="G26" s="600"/>
    </row>
    <row r="27" spans="1:7" s="597" customFormat="1" ht="11.25">
      <c r="A27" s="591"/>
      <c r="B27" s="684" t="s">
        <v>1405</v>
      </c>
      <c r="C27" s="592"/>
      <c r="D27" s="606">
        <f>SUM(D29:D39)</f>
        <v>146368000</v>
      </c>
      <c r="E27" s="606">
        <f>SUM(E29:E39)</f>
        <v>142158000</v>
      </c>
      <c r="F27" s="573">
        <f>D27-E27</f>
        <v>4210000</v>
      </c>
      <c r="G27" s="573"/>
    </row>
    <row r="28" spans="1:7" s="374" customFormat="1" ht="11.25">
      <c r="A28" s="360"/>
      <c r="B28" s="360"/>
      <c r="C28" s="594">
        <v>4221</v>
      </c>
      <c r="D28" s="615"/>
      <c r="E28" s="615"/>
      <c r="F28" s="574"/>
      <c r="G28" s="574"/>
    </row>
    <row r="29" spans="1:7" s="597" customFormat="1" ht="11.25">
      <c r="A29" s="591"/>
      <c r="B29" s="591"/>
      <c r="C29" s="592" t="s">
        <v>1406</v>
      </c>
      <c r="D29" s="606">
        <v>2000000</v>
      </c>
      <c r="E29" s="606">
        <v>2600000</v>
      </c>
      <c r="F29" s="573">
        <f>D29-E29</f>
        <v>-600000</v>
      </c>
      <c r="G29" s="573"/>
    </row>
    <row r="30" spans="1:7" s="374" customFormat="1" ht="11.25">
      <c r="A30" s="360"/>
      <c r="B30" s="360"/>
      <c r="C30" s="594">
        <v>4223</v>
      </c>
      <c r="D30" s="615"/>
      <c r="E30" s="615"/>
      <c r="F30" s="574"/>
      <c r="G30" s="574"/>
    </row>
    <row r="31" spans="1:7" s="597" customFormat="1" ht="11.25">
      <c r="A31" s="591"/>
      <c r="B31" s="591"/>
      <c r="C31" s="592" t="s">
        <v>1407</v>
      </c>
      <c r="D31" s="606">
        <v>25000000</v>
      </c>
      <c r="E31" s="606">
        <v>10409000</v>
      </c>
      <c r="F31" s="573">
        <f>D31-E31</f>
        <v>14591000</v>
      </c>
      <c r="G31" s="573"/>
    </row>
    <row r="32" spans="1:7" s="374" customFormat="1" ht="11.25">
      <c r="A32" s="360"/>
      <c r="B32" s="360"/>
      <c r="C32" s="594">
        <v>4225</v>
      </c>
      <c r="D32" s="615"/>
      <c r="E32" s="615"/>
      <c r="F32" s="574"/>
      <c r="G32" s="574"/>
    </row>
    <row r="33" spans="1:7" s="597" customFormat="1" ht="11.25">
      <c r="A33" s="591"/>
      <c r="B33" s="591"/>
      <c r="C33" s="592" t="s">
        <v>1408</v>
      </c>
      <c r="D33" s="606">
        <v>48000000</v>
      </c>
      <c r="E33" s="606">
        <v>55000000</v>
      </c>
      <c r="F33" s="573">
        <f>D33-E33</f>
        <v>-7000000</v>
      </c>
      <c r="G33" s="573"/>
    </row>
    <row r="34" spans="1:7" s="374" customFormat="1" ht="11.25">
      <c r="A34" s="360"/>
      <c r="B34" s="360"/>
      <c r="C34" s="594">
        <v>4226</v>
      </c>
      <c r="D34" s="615"/>
      <c r="E34" s="615"/>
      <c r="F34" s="574"/>
      <c r="G34" s="574"/>
    </row>
    <row r="35" spans="1:7" s="597" customFormat="1" ht="11.25">
      <c r="A35" s="591"/>
      <c r="B35" s="591"/>
      <c r="C35" s="592" t="s">
        <v>1409</v>
      </c>
      <c r="D35" s="606">
        <v>47219000</v>
      </c>
      <c r="E35" s="606">
        <v>50000000</v>
      </c>
      <c r="F35" s="573">
        <f>D35-E35</f>
        <v>-2781000</v>
      </c>
      <c r="G35" s="573"/>
    </row>
    <row r="36" spans="1:7" s="374" customFormat="1" ht="11.25">
      <c r="A36" s="360"/>
      <c r="B36" s="360"/>
      <c r="C36" s="594">
        <v>4227</v>
      </c>
      <c r="D36" s="615"/>
      <c r="E36" s="615"/>
      <c r="F36" s="574"/>
      <c r="G36" s="574"/>
    </row>
    <row r="37" spans="1:7" s="597" customFormat="1" ht="11.25">
      <c r="A37" s="352"/>
      <c r="B37" s="352"/>
      <c r="C37" s="592" t="s">
        <v>1410</v>
      </c>
      <c r="D37" s="606">
        <v>23400000</v>
      </c>
      <c r="E37" s="606">
        <v>23400000</v>
      </c>
      <c r="F37" s="573">
        <f>D37-E37</f>
        <v>0</v>
      </c>
      <c r="G37" s="573"/>
    </row>
    <row r="38" spans="1:7" s="374" customFormat="1" ht="11.25">
      <c r="A38" s="590"/>
      <c r="B38" s="590"/>
      <c r="C38" s="594">
        <v>4228</v>
      </c>
      <c r="D38" s="615"/>
      <c r="E38" s="615"/>
      <c r="F38" s="574"/>
      <c r="G38" s="574"/>
    </row>
    <row r="39" spans="1:7" s="597" customFormat="1" ht="11.25">
      <c r="A39" s="591"/>
      <c r="B39" s="352"/>
      <c r="C39" s="592" t="s">
        <v>1411</v>
      </c>
      <c r="D39" s="606">
        <v>749000</v>
      </c>
      <c r="E39" s="606">
        <v>749000</v>
      </c>
      <c r="F39" s="573">
        <f>D39-E39</f>
        <v>0</v>
      </c>
      <c r="G39" s="573"/>
    </row>
    <row r="40" spans="1:7" s="374" customFormat="1" ht="11.25">
      <c r="A40" s="360"/>
      <c r="B40" s="590">
        <v>4230</v>
      </c>
      <c r="C40" s="593"/>
      <c r="D40" s="608"/>
      <c r="E40" s="608"/>
      <c r="F40" s="600"/>
      <c r="G40" s="600"/>
    </row>
    <row r="41" spans="1:7" s="597" customFormat="1" ht="11.25">
      <c r="A41" s="591"/>
      <c r="B41" s="684" t="s">
        <v>1412</v>
      </c>
      <c r="C41" s="592"/>
      <c r="D41" s="606">
        <f>SUM(D43:D43)</f>
        <v>7000000</v>
      </c>
      <c r="E41" s="606">
        <f>SUM(E43:E43)</f>
        <v>10000000</v>
      </c>
      <c r="F41" s="573">
        <f>D41-E41</f>
        <v>-3000000</v>
      </c>
      <c r="G41" s="573"/>
    </row>
    <row r="42" spans="1:7" s="374" customFormat="1" ht="11.25">
      <c r="A42" s="360"/>
      <c r="B42" s="591"/>
      <c r="C42" s="594">
        <v>4231</v>
      </c>
      <c r="D42" s="615"/>
      <c r="E42" s="615"/>
      <c r="F42" s="574"/>
      <c r="G42" s="574"/>
    </row>
    <row r="43" spans="1:7" s="597" customFormat="1" ht="11.25">
      <c r="A43" s="591"/>
      <c r="B43" s="591"/>
      <c r="C43" s="592" t="s">
        <v>1413</v>
      </c>
      <c r="D43" s="606">
        <v>7000000</v>
      </c>
      <c r="E43" s="606">
        <v>10000000</v>
      </c>
      <c r="F43" s="573">
        <f>D43-E43</f>
        <v>-3000000</v>
      </c>
      <c r="G43" s="573"/>
    </row>
    <row r="44" spans="1:7" s="374" customFormat="1" ht="11.25">
      <c r="A44" s="590">
        <v>4300</v>
      </c>
      <c r="B44" s="590"/>
      <c r="C44" s="594"/>
      <c r="D44" s="615"/>
      <c r="E44" s="615"/>
      <c r="F44" s="574"/>
      <c r="G44" s="574"/>
    </row>
    <row r="45" spans="1:7" s="597" customFormat="1" ht="11.25">
      <c r="A45" s="684" t="s">
        <v>1414</v>
      </c>
      <c r="B45" s="685"/>
      <c r="C45" s="592"/>
      <c r="D45" s="606">
        <f>D47</f>
        <v>17260000</v>
      </c>
      <c r="E45" s="606">
        <f>E47</f>
        <v>16410000</v>
      </c>
      <c r="F45" s="573">
        <f>D45-E45</f>
        <v>850000</v>
      </c>
      <c r="G45" s="573"/>
    </row>
    <row r="46" spans="1:7" s="374" customFormat="1" ht="11.25">
      <c r="A46" s="591"/>
      <c r="B46" s="590">
        <v>4320</v>
      </c>
      <c r="C46" s="594"/>
      <c r="D46" s="615"/>
      <c r="E46" s="615"/>
      <c r="F46" s="574"/>
      <c r="G46" s="379"/>
    </row>
    <row r="47" spans="1:7" s="597" customFormat="1" ht="11.25">
      <c r="A47" s="591"/>
      <c r="B47" s="684" t="s">
        <v>1415</v>
      </c>
      <c r="C47" s="592"/>
      <c r="D47" s="606">
        <f>SUM(D48:D51)</f>
        <v>17260000</v>
      </c>
      <c r="E47" s="606">
        <f>SUM(E48:E51)</f>
        <v>16410000</v>
      </c>
      <c r="F47" s="573">
        <f>D47-E47</f>
        <v>850000</v>
      </c>
      <c r="G47" s="573"/>
    </row>
    <row r="48" spans="1:7" s="374" customFormat="1" ht="11.25">
      <c r="A48" s="591"/>
      <c r="B48" s="591"/>
      <c r="C48" s="594">
        <v>4325</v>
      </c>
      <c r="D48" s="615"/>
      <c r="E48" s="615"/>
      <c r="F48" s="574"/>
      <c r="G48" s="574"/>
    </row>
    <row r="49" spans="1:7" s="597" customFormat="1" ht="11.25">
      <c r="A49" s="591"/>
      <c r="B49" s="591"/>
      <c r="C49" s="592" t="s">
        <v>1416</v>
      </c>
      <c r="D49" s="606">
        <v>17260000</v>
      </c>
      <c r="E49" s="606">
        <v>16410000</v>
      </c>
      <c r="F49" s="573">
        <f>D49-E49</f>
        <v>850000</v>
      </c>
      <c r="G49" s="573"/>
    </row>
    <row r="50" spans="1:7" s="374" customFormat="1" ht="11.25">
      <c r="A50" s="360"/>
      <c r="B50" s="360"/>
      <c r="C50" s="594">
        <v>4329</v>
      </c>
      <c r="D50" s="615"/>
      <c r="E50" s="615"/>
      <c r="F50" s="574"/>
      <c r="G50" s="574"/>
    </row>
    <row r="51" spans="1:7" s="597" customFormat="1" ht="11.25">
      <c r="A51" s="591"/>
      <c r="B51" s="352"/>
      <c r="C51" s="592" t="s">
        <v>1417</v>
      </c>
      <c r="D51" s="606"/>
      <c r="E51" s="606"/>
      <c r="F51" s="573">
        <f>D51-E51</f>
        <v>0</v>
      </c>
      <c r="G51" s="573"/>
    </row>
    <row r="52" spans="1:7" s="374" customFormat="1" ht="11.25">
      <c r="A52" s="590">
        <v>4600</v>
      </c>
      <c r="B52" s="590"/>
      <c r="C52" s="594"/>
      <c r="D52" s="620"/>
      <c r="E52" s="620"/>
      <c r="F52" s="574"/>
      <c r="G52" s="574"/>
    </row>
    <row r="53" spans="1:7" s="597" customFormat="1" ht="11.25">
      <c r="A53" s="684" t="s">
        <v>1418</v>
      </c>
      <c r="B53" s="685"/>
      <c r="C53" s="592"/>
      <c r="D53" s="614">
        <v>127617961</v>
      </c>
      <c r="E53" s="614">
        <f>E55</f>
        <v>162833000</v>
      </c>
      <c r="F53" s="585">
        <f>D53-E53</f>
        <v>-35215039</v>
      </c>
      <c r="G53" s="573"/>
    </row>
    <row r="54" spans="1:7" s="374" customFormat="1" ht="11.25">
      <c r="A54" s="591"/>
      <c r="B54" s="590">
        <v>4610</v>
      </c>
      <c r="C54" s="594"/>
      <c r="D54" s="620"/>
      <c r="E54" s="620"/>
      <c r="F54" s="602"/>
      <c r="G54" s="574"/>
    </row>
    <row r="55" spans="1:7" s="597" customFormat="1" ht="11.25">
      <c r="A55" s="591"/>
      <c r="B55" s="684" t="s">
        <v>1385</v>
      </c>
      <c r="C55" s="592"/>
      <c r="D55" s="614">
        <v>127617961</v>
      </c>
      <c r="E55" s="614">
        <f>E57</f>
        <v>162833000</v>
      </c>
      <c r="F55" s="585">
        <f>D55-E55</f>
        <v>-35215039</v>
      </c>
      <c r="G55" s="573"/>
    </row>
    <row r="56" spans="1:7" s="597" customFormat="1" ht="11.25">
      <c r="A56" s="591"/>
      <c r="B56" s="591"/>
      <c r="C56" s="593">
        <v>4611</v>
      </c>
      <c r="D56" s="618"/>
      <c r="E56" s="618"/>
      <c r="F56" s="598"/>
      <c r="G56" s="580"/>
    </row>
    <row r="57" spans="1:7" s="597" customFormat="1" ht="11.25">
      <c r="A57" s="591"/>
      <c r="B57" s="591"/>
      <c r="C57" s="596" t="s">
        <v>1418</v>
      </c>
      <c r="D57" s="618">
        <v>127617961</v>
      </c>
      <c r="E57" s="618">
        <v>162833000</v>
      </c>
      <c r="F57" s="598">
        <f>D57-E57</f>
        <v>-35215039</v>
      </c>
      <c r="G57" s="580"/>
    </row>
    <row r="58" spans="1:7" s="374" customFormat="1" ht="11.25">
      <c r="A58" s="590">
        <v>1300</v>
      </c>
      <c r="B58" s="590"/>
      <c r="C58" s="594"/>
      <c r="D58" s="612"/>
      <c r="E58" s="612"/>
      <c r="F58" s="574"/>
      <c r="G58" s="574"/>
    </row>
    <row r="59" spans="1:7" s="597" customFormat="1" ht="11.25">
      <c r="A59" s="684" t="s">
        <v>1419</v>
      </c>
      <c r="B59" s="685"/>
      <c r="C59" s="592"/>
      <c r="D59" s="606">
        <f>SUM(D61)</f>
        <v>70000000</v>
      </c>
      <c r="E59" s="606">
        <f>SUM(E61)</f>
        <v>5500000</v>
      </c>
      <c r="F59" s="573">
        <f>D59-E59</f>
        <v>64500000</v>
      </c>
      <c r="G59" s="573"/>
    </row>
    <row r="60" spans="1:7" s="374" customFormat="1" ht="11.25">
      <c r="A60" s="684" t="s">
        <v>1420</v>
      </c>
      <c r="B60" s="360">
        <v>1310</v>
      </c>
      <c r="C60" s="594"/>
      <c r="D60" s="615"/>
      <c r="E60" s="615"/>
      <c r="F60" s="574"/>
      <c r="G60" s="574"/>
    </row>
    <row r="61" spans="1:7" s="597" customFormat="1" ht="11.25">
      <c r="A61" s="684"/>
      <c r="B61" s="684" t="s">
        <v>1421</v>
      </c>
      <c r="C61" s="592"/>
      <c r="D61" s="606">
        <f>SUM(D62:D65)</f>
        <v>70000000</v>
      </c>
      <c r="E61" s="606">
        <f>SUM(E62:E65)</f>
        <v>5500000</v>
      </c>
      <c r="F61" s="573">
        <f>D61-E61</f>
        <v>64500000</v>
      </c>
      <c r="G61" s="573"/>
    </row>
    <row r="62" spans="1:7" s="374" customFormat="1" ht="11.25">
      <c r="A62" s="360"/>
      <c r="B62" s="684" t="s">
        <v>1420</v>
      </c>
      <c r="C62" s="594">
        <v>1314</v>
      </c>
      <c r="D62" s="615"/>
      <c r="E62" s="615"/>
      <c r="F62" s="574"/>
      <c r="G62" s="574"/>
    </row>
    <row r="63" spans="1:7" s="597" customFormat="1" ht="11.25">
      <c r="A63" s="591"/>
      <c r="B63" s="591"/>
      <c r="C63" s="592" t="s">
        <v>1422</v>
      </c>
      <c r="D63" s="606">
        <v>40000000</v>
      </c>
      <c r="E63" s="606">
        <v>3000000</v>
      </c>
      <c r="F63" s="573">
        <f>D63-E63</f>
        <v>37000000</v>
      </c>
      <c r="G63" s="573"/>
    </row>
    <row r="64" spans="1:7" s="374" customFormat="1" ht="11.25">
      <c r="A64" s="360"/>
      <c r="B64" s="360"/>
      <c r="C64" s="594">
        <v>1315</v>
      </c>
      <c r="D64" s="615"/>
      <c r="E64" s="615"/>
      <c r="F64" s="574"/>
      <c r="G64" s="574"/>
    </row>
    <row r="65" spans="1:7" s="597" customFormat="1" ht="11.25">
      <c r="A65" s="591"/>
      <c r="B65" s="591"/>
      <c r="C65" s="592" t="s">
        <v>1423</v>
      </c>
      <c r="D65" s="606">
        <v>30000000</v>
      </c>
      <c r="E65" s="606">
        <v>2500000</v>
      </c>
      <c r="F65" s="573">
        <f>D65-E65</f>
        <v>27500000</v>
      </c>
      <c r="G65" s="573"/>
    </row>
    <row r="66" spans="1:7" s="597" customFormat="1" ht="23.25" customHeight="1">
      <c r="A66" s="1076" t="s">
        <v>1424</v>
      </c>
      <c r="B66" s="1076"/>
      <c r="C66" s="1076"/>
      <c r="D66" s="432">
        <f>D13+D45+D53+D59</f>
        <v>499777961</v>
      </c>
      <c r="E66" s="432">
        <f>E59+E53+E45+E13+E7</f>
        <v>498753000</v>
      </c>
      <c r="F66" s="333">
        <f>D66-E66</f>
        <v>1024961</v>
      </c>
      <c r="G66" s="333"/>
    </row>
  </sheetData>
  <mergeCells count="6">
    <mergeCell ref="A66:C66"/>
    <mergeCell ref="A1:G1"/>
    <mergeCell ref="A2:G2"/>
    <mergeCell ref="A3:G3"/>
    <mergeCell ref="A4:C4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C12" sqref="C12"/>
    </sheetView>
  </sheetViews>
  <sheetFormatPr defaultColWidth="9.25390625" defaultRowHeight="27" customHeight="1"/>
  <cols>
    <col min="1" max="1" width="19.50390625" style="69" customWidth="1"/>
    <col min="2" max="2" width="17.75390625" style="10" customWidth="1"/>
    <col min="3" max="3" width="19.00390625" style="10" customWidth="1"/>
    <col min="4" max="4" width="21.25390625" style="10" customWidth="1"/>
    <col min="5" max="5" width="45.25390625" style="10" customWidth="1"/>
    <col min="6" max="256" width="9.25390625" style="10" customWidth="1"/>
    <col min="257" max="257" width="19.50390625" style="10" customWidth="1"/>
    <col min="258" max="258" width="17.75390625" style="10" customWidth="1"/>
    <col min="259" max="259" width="19.00390625" style="10" customWidth="1"/>
    <col min="260" max="260" width="21.25390625" style="10" customWidth="1"/>
    <col min="261" max="261" width="45.25390625" style="10" customWidth="1"/>
    <col min="262" max="512" width="9.25390625" style="10" customWidth="1"/>
    <col min="513" max="513" width="19.50390625" style="10" customWidth="1"/>
    <col min="514" max="514" width="17.75390625" style="10" customWidth="1"/>
    <col min="515" max="515" width="19.00390625" style="10" customWidth="1"/>
    <col min="516" max="516" width="21.25390625" style="10" customWidth="1"/>
    <col min="517" max="517" width="45.25390625" style="10" customWidth="1"/>
    <col min="518" max="768" width="9.25390625" style="10" customWidth="1"/>
    <col min="769" max="769" width="19.50390625" style="10" customWidth="1"/>
    <col min="770" max="770" width="17.75390625" style="10" customWidth="1"/>
    <col min="771" max="771" width="19.00390625" style="10" customWidth="1"/>
    <col min="772" max="772" width="21.25390625" style="10" customWidth="1"/>
    <col min="773" max="773" width="45.25390625" style="10" customWidth="1"/>
    <col min="774" max="1024" width="9.25390625" style="10" customWidth="1"/>
    <col min="1025" max="1025" width="19.50390625" style="10" customWidth="1"/>
    <col min="1026" max="1026" width="17.75390625" style="10" customWidth="1"/>
    <col min="1027" max="1027" width="19.00390625" style="10" customWidth="1"/>
    <col min="1028" max="1028" width="21.25390625" style="10" customWidth="1"/>
    <col min="1029" max="1029" width="45.25390625" style="10" customWidth="1"/>
    <col min="1030" max="1280" width="9.25390625" style="10" customWidth="1"/>
    <col min="1281" max="1281" width="19.50390625" style="10" customWidth="1"/>
    <col min="1282" max="1282" width="17.75390625" style="10" customWidth="1"/>
    <col min="1283" max="1283" width="19.00390625" style="10" customWidth="1"/>
    <col min="1284" max="1284" width="21.25390625" style="10" customWidth="1"/>
    <col min="1285" max="1285" width="45.25390625" style="10" customWidth="1"/>
    <col min="1286" max="1536" width="9.25390625" style="10" customWidth="1"/>
    <col min="1537" max="1537" width="19.50390625" style="10" customWidth="1"/>
    <col min="1538" max="1538" width="17.75390625" style="10" customWidth="1"/>
    <col min="1539" max="1539" width="19.00390625" style="10" customWidth="1"/>
    <col min="1540" max="1540" width="21.25390625" style="10" customWidth="1"/>
    <col min="1541" max="1541" width="45.25390625" style="10" customWidth="1"/>
    <col min="1542" max="1792" width="9.25390625" style="10" customWidth="1"/>
    <col min="1793" max="1793" width="19.50390625" style="10" customWidth="1"/>
    <col min="1794" max="1794" width="17.75390625" style="10" customWidth="1"/>
    <col min="1795" max="1795" width="19.00390625" style="10" customWidth="1"/>
    <col min="1796" max="1796" width="21.25390625" style="10" customWidth="1"/>
    <col min="1797" max="1797" width="45.25390625" style="10" customWidth="1"/>
    <col min="1798" max="2048" width="9.25390625" style="10" customWidth="1"/>
    <col min="2049" max="2049" width="19.50390625" style="10" customWidth="1"/>
    <col min="2050" max="2050" width="17.75390625" style="10" customWidth="1"/>
    <col min="2051" max="2051" width="19.00390625" style="10" customWidth="1"/>
    <col min="2052" max="2052" width="21.25390625" style="10" customWidth="1"/>
    <col min="2053" max="2053" width="45.25390625" style="10" customWidth="1"/>
    <col min="2054" max="2304" width="9.25390625" style="10" customWidth="1"/>
    <col min="2305" max="2305" width="19.50390625" style="10" customWidth="1"/>
    <col min="2306" max="2306" width="17.75390625" style="10" customWidth="1"/>
    <col min="2307" max="2307" width="19.00390625" style="10" customWidth="1"/>
    <col min="2308" max="2308" width="21.25390625" style="10" customWidth="1"/>
    <col min="2309" max="2309" width="45.25390625" style="10" customWidth="1"/>
    <col min="2310" max="2560" width="9.25390625" style="10" customWidth="1"/>
    <col min="2561" max="2561" width="19.50390625" style="10" customWidth="1"/>
    <col min="2562" max="2562" width="17.75390625" style="10" customWidth="1"/>
    <col min="2563" max="2563" width="19.00390625" style="10" customWidth="1"/>
    <col min="2564" max="2564" width="21.25390625" style="10" customWidth="1"/>
    <col min="2565" max="2565" width="45.25390625" style="10" customWidth="1"/>
    <col min="2566" max="2816" width="9.25390625" style="10" customWidth="1"/>
    <col min="2817" max="2817" width="19.50390625" style="10" customWidth="1"/>
    <col min="2818" max="2818" width="17.75390625" style="10" customWidth="1"/>
    <col min="2819" max="2819" width="19.00390625" style="10" customWidth="1"/>
    <col min="2820" max="2820" width="21.25390625" style="10" customWidth="1"/>
    <col min="2821" max="2821" width="45.25390625" style="10" customWidth="1"/>
    <col min="2822" max="3072" width="9.25390625" style="10" customWidth="1"/>
    <col min="3073" max="3073" width="19.50390625" style="10" customWidth="1"/>
    <col min="3074" max="3074" width="17.75390625" style="10" customWidth="1"/>
    <col min="3075" max="3075" width="19.00390625" style="10" customWidth="1"/>
    <col min="3076" max="3076" width="21.25390625" style="10" customWidth="1"/>
    <col min="3077" max="3077" width="45.25390625" style="10" customWidth="1"/>
    <col min="3078" max="3328" width="9.25390625" style="10" customWidth="1"/>
    <col min="3329" max="3329" width="19.50390625" style="10" customWidth="1"/>
    <col min="3330" max="3330" width="17.75390625" style="10" customWidth="1"/>
    <col min="3331" max="3331" width="19.00390625" style="10" customWidth="1"/>
    <col min="3332" max="3332" width="21.25390625" style="10" customWidth="1"/>
    <col min="3333" max="3333" width="45.25390625" style="10" customWidth="1"/>
    <col min="3334" max="3584" width="9.25390625" style="10" customWidth="1"/>
    <col min="3585" max="3585" width="19.50390625" style="10" customWidth="1"/>
    <col min="3586" max="3586" width="17.75390625" style="10" customWidth="1"/>
    <col min="3587" max="3587" width="19.00390625" style="10" customWidth="1"/>
    <col min="3588" max="3588" width="21.25390625" style="10" customWidth="1"/>
    <col min="3589" max="3589" width="45.25390625" style="10" customWidth="1"/>
    <col min="3590" max="3840" width="9.25390625" style="10" customWidth="1"/>
    <col min="3841" max="3841" width="19.50390625" style="10" customWidth="1"/>
    <col min="3842" max="3842" width="17.75390625" style="10" customWidth="1"/>
    <col min="3843" max="3843" width="19.00390625" style="10" customWidth="1"/>
    <col min="3844" max="3844" width="21.25390625" style="10" customWidth="1"/>
    <col min="3845" max="3845" width="45.25390625" style="10" customWidth="1"/>
    <col min="3846" max="4096" width="9.25390625" style="10" customWidth="1"/>
    <col min="4097" max="4097" width="19.50390625" style="10" customWidth="1"/>
    <col min="4098" max="4098" width="17.75390625" style="10" customWidth="1"/>
    <col min="4099" max="4099" width="19.00390625" style="10" customWidth="1"/>
    <col min="4100" max="4100" width="21.25390625" style="10" customWidth="1"/>
    <col min="4101" max="4101" width="45.25390625" style="10" customWidth="1"/>
    <col min="4102" max="4352" width="9.25390625" style="10" customWidth="1"/>
    <col min="4353" max="4353" width="19.50390625" style="10" customWidth="1"/>
    <col min="4354" max="4354" width="17.75390625" style="10" customWidth="1"/>
    <col min="4355" max="4355" width="19.00390625" style="10" customWidth="1"/>
    <col min="4356" max="4356" width="21.25390625" style="10" customWidth="1"/>
    <col min="4357" max="4357" width="45.25390625" style="10" customWidth="1"/>
    <col min="4358" max="4608" width="9.25390625" style="10" customWidth="1"/>
    <col min="4609" max="4609" width="19.50390625" style="10" customWidth="1"/>
    <col min="4610" max="4610" width="17.75390625" style="10" customWidth="1"/>
    <col min="4611" max="4611" width="19.00390625" style="10" customWidth="1"/>
    <col min="4612" max="4612" width="21.25390625" style="10" customWidth="1"/>
    <col min="4613" max="4613" width="45.25390625" style="10" customWidth="1"/>
    <col min="4614" max="4864" width="9.25390625" style="10" customWidth="1"/>
    <col min="4865" max="4865" width="19.50390625" style="10" customWidth="1"/>
    <col min="4866" max="4866" width="17.75390625" style="10" customWidth="1"/>
    <col min="4867" max="4867" width="19.00390625" style="10" customWidth="1"/>
    <col min="4868" max="4868" width="21.25390625" style="10" customWidth="1"/>
    <col min="4869" max="4869" width="45.25390625" style="10" customWidth="1"/>
    <col min="4870" max="5120" width="9.25390625" style="10" customWidth="1"/>
    <col min="5121" max="5121" width="19.50390625" style="10" customWidth="1"/>
    <col min="5122" max="5122" width="17.75390625" style="10" customWidth="1"/>
    <col min="5123" max="5123" width="19.00390625" style="10" customWidth="1"/>
    <col min="5124" max="5124" width="21.25390625" style="10" customWidth="1"/>
    <col min="5125" max="5125" width="45.25390625" style="10" customWidth="1"/>
    <col min="5126" max="5376" width="9.25390625" style="10" customWidth="1"/>
    <col min="5377" max="5377" width="19.50390625" style="10" customWidth="1"/>
    <col min="5378" max="5378" width="17.75390625" style="10" customWidth="1"/>
    <col min="5379" max="5379" width="19.00390625" style="10" customWidth="1"/>
    <col min="5380" max="5380" width="21.25390625" style="10" customWidth="1"/>
    <col min="5381" max="5381" width="45.25390625" style="10" customWidth="1"/>
    <col min="5382" max="5632" width="9.25390625" style="10" customWidth="1"/>
    <col min="5633" max="5633" width="19.50390625" style="10" customWidth="1"/>
    <col min="5634" max="5634" width="17.75390625" style="10" customWidth="1"/>
    <col min="5635" max="5635" width="19.00390625" style="10" customWidth="1"/>
    <col min="5636" max="5636" width="21.25390625" style="10" customWidth="1"/>
    <col min="5637" max="5637" width="45.25390625" style="10" customWidth="1"/>
    <col min="5638" max="5888" width="9.25390625" style="10" customWidth="1"/>
    <col min="5889" max="5889" width="19.50390625" style="10" customWidth="1"/>
    <col min="5890" max="5890" width="17.75390625" style="10" customWidth="1"/>
    <col min="5891" max="5891" width="19.00390625" style="10" customWidth="1"/>
    <col min="5892" max="5892" width="21.25390625" style="10" customWidth="1"/>
    <col min="5893" max="5893" width="45.25390625" style="10" customWidth="1"/>
    <col min="5894" max="6144" width="9.25390625" style="10" customWidth="1"/>
    <col min="6145" max="6145" width="19.50390625" style="10" customWidth="1"/>
    <col min="6146" max="6146" width="17.75390625" style="10" customWidth="1"/>
    <col min="6147" max="6147" width="19.00390625" style="10" customWidth="1"/>
    <col min="6148" max="6148" width="21.25390625" style="10" customWidth="1"/>
    <col min="6149" max="6149" width="45.25390625" style="10" customWidth="1"/>
    <col min="6150" max="6400" width="9.25390625" style="10" customWidth="1"/>
    <col min="6401" max="6401" width="19.50390625" style="10" customWidth="1"/>
    <col min="6402" max="6402" width="17.75390625" style="10" customWidth="1"/>
    <col min="6403" max="6403" width="19.00390625" style="10" customWidth="1"/>
    <col min="6404" max="6404" width="21.25390625" style="10" customWidth="1"/>
    <col min="6405" max="6405" width="45.25390625" style="10" customWidth="1"/>
    <col min="6406" max="6656" width="9.25390625" style="10" customWidth="1"/>
    <col min="6657" max="6657" width="19.50390625" style="10" customWidth="1"/>
    <col min="6658" max="6658" width="17.75390625" style="10" customWidth="1"/>
    <col min="6659" max="6659" width="19.00390625" style="10" customWidth="1"/>
    <col min="6660" max="6660" width="21.25390625" style="10" customWidth="1"/>
    <col min="6661" max="6661" width="45.25390625" style="10" customWidth="1"/>
    <col min="6662" max="6912" width="9.25390625" style="10" customWidth="1"/>
    <col min="6913" max="6913" width="19.50390625" style="10" customWidth="1"/>
    <col min="6914" max="6914" width="17.75390625" style="10" customWidth="1"/>
    <col min="6915" max="6915" width="19.00390625" style="10" customWidth="1"/>
    <col min="6916" max="6916" width="21.25390625" style="10" customWidth="1"/>
    <col min="6917" max="6917" width="45.25390625" style="10" customWidth="1"/>
    <col min="6918" max="7168" width="9.25390625" style="10" customWidth="1"/>
    <col min="7169" max="7169" width="19.50390625" style="10" customWidth="1"/>
    <col min="7170" max="7170" width="17.75390625" style="10" customWidth="1"/>
    <col min="7171" max="7171" width="19.00390625" style="10" customWidth="1"/>
    <col min="7172" max="7172" width="21.25390625" style="10" customWidth="1"/>
    <col min="7173" max="7173" width="45.25390625" style="10" customWidth="1"/>
    <col min="7174" max="7424" width="9.25390625" style="10" customWidth="1"/>
    <col min="7425" max="7425" width="19.50390625" style="10" customWidth="1"/>
    <col min="7426" max="7426" width="17.75390625" style="10" customWidth="1"/>
    <col min="7427" max="7427" width="19.00390625" style="10" customWidth="1"/>
    <col min="7428" max="7428" width="21.25390625" style="10" customWidth="1"/>
    <col min="7429" max="7429" width="45.25390625" style="10" customWidth="1"/>
    <col min="7430" max="7680" width="9.25390625" style="10" customWidth="1"/>
    <col min="7681" max="7681" width="19.50390625" style="10" customWidth="1"/>
    <col min="7682" max="7682" width="17.75390625" style="10" customWidth="1"/>
    <col min="7683" max="7683" width="19.00390625" style="10" customWidth="1"/>
    <col min="7684" max="7684" width="21.25390625" style="10" customWidth="1"/>
    <col min="7685" max="7685" width="45.25390625" style="10" customWidth="1"/>
    <col min="7686" max="7936" width="9.25390625" style="10" customWidth="1"/>
    <col min="7937" max="7937" width="19.50390625" style="10" customWidth="1"/>
    <col min="7938" max="7938" width="17.75390625" style="10" customWidth="1"/>
    <col min="7939" max="7939" width="19.00390625" style="10" customWidth="1"/>
    <col min="7940" max="7940" width="21.25390625" style="10" customWidth="1"/>
    <col min="7941" max="7941" width="45.25390625" style="10" customWidth="1"/>
    <col min="7942" max="8192" width="9.25390625" style="10" customWidth="1"/>
    <col min="8193" max="8193" width="19.50390625" style="10" customWidth="1"/>
    <col min="8194" max="8194" width="17.75390625" style="10" customWidth="1"/>
    <col min="8195" max="8195" width="19.00390625" style="10" customWidth="1"/>
    <col min="8196" max="8196" width="21.25390625" style="10" customWidth="1"/>
    <col min="8197" max="8197" width="45.25390625" style="10" customWidth="1"/>
    <col min="8198" max="8448" width="9.25390625" style="10" customWidth="1"/>
    <col min="8449" max="8449" width="19.50390625" style="10" customWidth="1"/>
    <col min="8450" max="8450" width="17.75390625" style="10" customWidth="1"/>
    <col min="8451" max="8451" width="19.00390625" style="10" customWidth="1"/>
    <col min="8452" max="8452" width="21.25390625" style="10" customWidth="1"/>
    <col min="8453" max="8453" width="45.25390625" style="10" customWidth="1"/>
    <col min="8454" max="8704" width="9.25390625" style="10" customWidth="1"/>
    <col min="8705" max="8705" width="19.50390625" style="10" customWidth="1"/>
    <col min="8706" max="8706" width="17.75390625" style="10" customWidth="1"/>
    <col min="8707" max="8707" width="19.00390625" style="10" customWidth="1"/>
    <col min="8708" max="8708" width="21.25390625" style="10" customWidth="1"/>
    <col min="8709" max="8709" width="45.25390625" style="10" customWidth="1"/>
    <col min="8710" max="8960" width="9.25390625" style="10" customWidth="1"/>
    <col min="8961" max="8961" width="19.50390625" style="10" customWidth="1"/>
    <col min="8962" max="8962" width="17.75390625" style="10" customWidth="1"/>
    <col min="8963" max="8963" width="19.00390625" style="10" customWidth="1"/>
    <col min="8964" max="8964" width="21.25390625" style="10" customWidth="1"/>
    <col min="8965" max="8965" width="45.25390625" style="10" customWidth="1"/>
    <col min="8966" max="9216" width="9.25390625" style="10" customWidth="1"/>
    <col min="9217" max="9217" width="19.50390625" style="10" customWidth="1"/>
    <col min="9218" max="9218" width="17.75390625" style="10" customWidth="1"/>
    <col min="9219" max="9219" width="19.00390625" style="10" customWidth="1"/>
    <col min="9220" max="9220" width="21.25390625" style="10" customWidth="1"/>
    <col min="9221" max="9221" width="45.25390625" style="10" customWidth="1"/>
    <col min="9222" max="9472" width="9.25390625" style="10" customWidth="1"/>
    <col min="9473" max="9473" width="19.50390625" style="10" customWidth="1"/>
    <col min="9474" max="9474" width="17.75390625" style="10" customWidth="1"/>
    <col min="9475" max="9475" width="19.00390625" style="10" customWidth="1"/>
    <col min="9476" max="9476" width="21.25390625" style="10" customWidth="1"/>
    <col min="9477" max="9477" width="45.25390625" style="10" customWidth="1"/>
    <col min="9478" max="9728" width="9.25390625" style="10" customWidth="1"/>
    <col min="9729" max="9729" width="19.50390625" style="10" customWidth="1"/>
    <col min="9730" max="9730" width="17.75390625" style="10" customWidth="1"/>
    <col min="9731" max="9731" width="19.00390625" style="10" customWidth="1"/>
    <col min="9732" max="9732" width="21.25390625" style="10" customWidth="1"/>
    <col min="9733" max="9733" width="45.25390625" style="10" customWidth="1"/>
    <col min="9734" max="9984" width="9.25390625" style="10" customWidth="1"/>
    <col min="9985" max="9985" width="19.50390625" style="10" customWidth="1"/>
    <col min="9986" max="9986" width="17.75390625" style="10" customWidth="1"/>
    <col min="9987" max="9987" width="19.00390625" style="10" customWidth="1"/>
    <col min="9988" max="9988" width="21.25390625" style="10" customWidth="1"/>
    <col min="9989" max="9989" width="45.25390625" style="10" customWidth="1"/>
    <col min="9990" max="10240" width="9.25390625" style="10" customWidth="1"/>
    <col min="10241" max="10241" width="19.50390625" style="10" customWidth="1"/>
    <col min="10242" max="10242" width="17.75390625" style="10" customWidth="1"/>
    <col min="10243" max="10243" width="19.00390625" style="10" customWidth="1"/>
    <col min="10244" max="10244" width="21.25390625" style="10" customWidth="1"/>
    <col min="10245" max="10245" width="45.25390625" style="10" customWidth="1"/>
    <col min="10246" max="10496" width="9.25390625" style="10" customWidth="1"/>
    <col min="10497" max="10497" width="19.50390625" style="10" customWidth="1"/>
    <col min="10498" max="10498" width="17.75390625" style="10" customWidth="1"/>
    <col min="10499" max="10499" width="19.00390625" style="10" customWidth="1"/>
    <col min="10500" max="10500" width="21.25390625" style="10" customWidth="1"/>
    <col min="10501" max="10501" width="45.25390625" style="10" customWidth="1"/>
    <col min="10502" max="10752" width="9.25390625" style="10" customWidth="1"/>
    <col min="10753" max="10753" width="19.50390625" style="10" customWidth="1"/>
    <col min="10754" max="10754" width="17.75390625" style="10" customWidth="1"/>
    <col min="10755" max="10755" width="19.00390625" style="10" customWidth="1"/>
    <col min="10756" max="10756" width="21.25390625" style="10" customWidth="1"/>
    <col min="10757" max="10757" width="45.25390625" style="10" customWidth="1"/>
    <col min="10758" max="11008" width="9.25390625" style="10" customWidth="1"/>
    <col min="11009" max="11009" width="19.50390625" style="10" customWidth="1"/>
    <col min="11010" max="11010" width="17.75390625" style="10" customWidth="1"/>
    <col min="11011" max="11011" width="19.00390625" style="10" customWidth="1"/>
    <col min="11012" max="11012" width="21.25390625" style="10" customWidth="1"/>
    <col min="11013" max="11013" width="45.25390625" style="10" customWidth="1"/>
    <col min="11014" max="11264" width="9.25390625" style="10" customWidth="1"/>
    <col min="11265" max="11265" width="19.50390625" style="10" customWidth="1"/>
    <col min="11266" max="11266" width="17.75390625" style="10" customWidth="1"/>
    <col min="11267" max="11267" width="19.00390625" style="10" customWidth="1"/>
    <col min="11268" max="11268" width="21.25390625" style="10" customWidth="1"/>
    <col min="11269" max="11269" width="45.25390625" style="10" customWidth="1"/>
    <col min="11270" max="11520" width="9.25390625" style="10" customWidth="1"/>
    <col min="11521" max="11521" width="19.50390625" style="10" customWidth="1"/>
    <col min="11522" max="11522" width="17.75390625" style="10" customWidth="1"/>
    <col min="11523" max="11523" width="19.00390625" style="10" customWidth="1"/>
    <col min="11524" max="11524" width="21.25390625" style="10" customWidth="1"/>
    <col min="11525" max="11525" width="45.25390625" style="10" customWidth="1"/>
    <col min="11526" max="11776" width="9.25390625" style="10" customWidth="1"/>
    <col min="11777" max="11777" width="19.50390625" style="10" customWidth="1"/>
    <col min="11778" max="11778" width="17.75390625" style="10" customWidth="1"/>
    <col min="11779" max="11779" width="19.00390625" style="10" customWidth="1"/>
    <col min="11780" max="11780" width="21.25390625" style="10" customWidth="1"/>
    <col min="11781" max="11781" width="45.25390625" style="10" customWidth="1"/>
    <col min="11782" max="12032" width="9.25390625" style="10" customWidth="1"/>
    <col min="12033" max="12033" width="19.50390625" style="10" customWidth="1"/>
    <col min="12034" max="12034" width="17.75390625" style="10" customWidth="1"/>
    <col min="12035" max="12035" width="19.00390625" style="10" customWidth="1"/>
    <col min="12036" max="12036" width="21.25390625" style="10" customWidth="1"/>
    <col min="12037" max="12037" width="45.25390625" style="10" customWidth="1"/>
    <col min="12038" max="12288" width="9.25390625" style="10" customWidth="1"/>
    <col min="12289" max="12289" width="19.50390625" style="10" customWidth="1"/>
    <col min="12290" max="12290" width="17.75390625" style="10" customWidth="1"/>
    <col min="12291" max="12291" width="19.00390625" style="10" customWidth="1"/>
    <col min="12292" max="12292" width="21.25390625" style="10" customWidth="1"/>
    <col min="12293" max="12293" width="45.25390625" style="10" customWidth="1"/>
    <col min="12294" max="12544" width="9.25390625" style="10" customWidth="1"/>
    <col min="12545" max="12545" width="19.50390625" style="10" customWidth="1"/>
    <col min="12546" max="12546" width="17.75390625" style="10" customWidth="1"/>
    <col min="12547" max="12547" width="19.00390625" style="10" customWidth="1"/>
    <col min="12548" max="12548" width="21.25390625" style="10" customWidth="1"/>
    <col min="12549" max="12549" width="45.25390625" style="10" customWidth="1"/>
    <col min="12550" max="12800" width="9.25390625" style="10" customWidth="1"/>
    <col min="12801" max="12801" width="19.50390625" style="10" customWidth="1"/>
    <col min="12802" max="12802" width="17.75390625" style="10" customWidth="1"/>
    <col min="12803" max="12803" width="19.00390625" style="10" customWidth="1"/>
    <col min="12804" max="12804" width="21.25390625" style="10" customWidth="1"/>
    <col min="12805" max="12805" width="45.25390625" style="10" customWidth="1"/>
    <col min="12806" max="13056" width="9.25390625" style="10" customWidth="1"/>
    <col min="13057" max="13057" width="19.50390625" style="10" customWidth="1"/>
    <col min="13058" max="13058" width="17.75390625" style="10" customWidth="1"/>
    <col min="13059" max="13059" width="19.00390625" style="10" customWidth="1"/>
    <col min="13060" max="13060" width="21.25390625" style="10" customWidth="1"/>
    <col min="13061" max="13061" width="45.25390625" style="10" customWidth="1"/>
    <col min="13062" max="13312" width="9.25390625" style="10" customWidth="1"/>
    <col min="13313" max="13313" width="19.50390625" style="10" customWidth="1"/>
    <col min="13314" max="13314" width="17.75390625" style="10" customWidth="1"/>
    <col min="13315" max="13315" width="19.00390625" style="10" customWidth="1"/>
    <col min="13316" max="13316" width="21.25390625" style="10" customWidth="1"/>
    <col min="13317" max="13317" width="45.25390625" style="10" customWidth="1"/>
    <col min="13318" max="13568" width="9.25390625" style="10" customWidth="1"/>
    <col min="13569" max="13569" width="19.50390625" style="10" customWidth="1"/>
    <col min="13570" max="13570" width="17.75390625" style="10" customWidth="1"/>
    <col min="13571" max="13571" width="19.00390625" style="10" customWidth="1"/>
    <col min="13572" max="13572" width="21.25390625" style="10" customWidth="1"/>
    <col min="13573" max="13573" width="45.25390625" style="10" customWidth="1"/>
    <col min="13574" max="13824" width="9.25390625" style="10" customWidth="1"/>
    <col min="13825" max="13825" width="19.50390625" style="10" customWidth="1"/>
    <col min="13826" max="13826" width="17.75390625" style="10" customWidth="1"/>
    <col min="13827" max="13827" width="19.00390625" style="10" customWidth="1"/>
    <col min="13828" max="13828" width="21.25390625" style="10" customWidth="1"/>
    <col min="13829" max="13829" width="45.25390625" style="10" customWidth="1"/>
    <col min="13830" max="14080" width="9.25390625" style="10" customWidth="1"/>
    <col min="14081" max="14081" width="19.50390625" style="10" customWidth="1"/>
    <col min="14082" max="14082" width="17.75390625" style="10" customWidth="1"/>
    <col min="14083" max="14083" width="19.00390625" style="10" customWidth="1"/>
    <col min="14084" max="14084" width="21.25390625" style="10" customWidth="1"/>
    <col min="14085" max="14085" width="45.25390625" style="10" customWidth="1"/>
    <col min="14086" max="14336" width="9.25390625" style="10" customWidth="1"/>
    <col min="14337" max="14337" width="19.50390625" style="10" customWidth="1"/>
    <col min="14338" max="14338" width="17.75390625" style="10" customWidth="1"/>
    <col min="14339" max="14339" width="19.00390625" style="10" customWidth="1"/>
    <col min="14340" max="14340" width="21.25390625" style="10" customWidth="1"/>
    <col min="14341" max="14341" width="45.25390625" style="10" customWidth="1"/>
    <col min="14342" max="14592" width="9.25390625" style="10" customWidth="1"/>
    <col min="14593" max="14593" width="19.50390625" style="10" customWidth="1"/>
    <col min="14594" max="14594" width="17.75390625" style="10" customWidth="1"/>
    <col min="14595" max="14595" width="19.00390625" style="10" customWidth="1"/>
    <col min="14596" max="14596" width="21.25390625" style="10" customWidth="1"/>
    <col min="14597" max="14597" width="45.25390625" style="10" customWidth="1"/>
    <col min="14598" max="14848" width="9.25390625" style="10" customWidth="1"/>
    <col min="14849" max="14849" width="19.50390625" style="10" customWidth="1"/>
    <col min="14850" max="14850" width="17.75390625" style="10" customWidth="1"/>
    <col min="14851" max="14851" width="19.00390625" style="10" customWidth="1"/>
    <col min="14852" max="14852" width="21.25390625" style="10" customWidth="1"/>
    <col min="14853" max="14853" width="45.25390625" style="10" customWidth="1"/>
    <col min="14854" max="15104" width="9.25390625" style="10" customWidth="1"/>
    <col min="15105" max="15105" width="19.50390625" style="10" customWidth="1"/>
    <col min="15106" max="15106" width="17.75390625" style="10" customWidth="1"/>
    <col min="15107" max="15107" width="19.00390625" style="10" customWidth="1"/>
    <col min="15108" max="15108" width="21.25390625" style="10" customWidth="1"/>
    <col min="15109" max="15109" width="45.25390625" style="10" customWidth="1"/>
    <col min="15110" max="15360" width="9.25390625" style="10" customWidth="1"/>
    <col min="15361" max="15361" width="19.50390625" style="10" customWidth="1"/>
    <col min="15362" max="15362" width="17.75390625" style="10" customWidth="1"/>
    <col min="15363" max="15363" width="19.00390625" style="10" customWidth="1"/>
    <col min="15364" max="15364" width="21.25390625" style="10" customWidth="1"/>
    <col min="15365" max="15365" width="45.25390625" style="10" customWidth="1"/>
    <col min="15366" max="15616" width="9.25390625" style="10" customWidth="1"/>
    <col min="15617" max="15617" width="19.50390625" style="10" customWidth="1"/>
    <col min="15618" max="15618" width="17.75390625" style="10" customWidth="1"/>
    <col min="15619" max="15619" width="19.00390625" style="10" customWidth="1"/>
    <col min="15620" max="15620" width="21.25390625" style="10" customWidth="1"/>
    <col min="15621" max="15621" width="45.25390625" style="10" customWidth="1"/>
    <col min="15622" max="15872" width="9.25390625" style="10" customWidth="1"/>
    <col min="15873" max="15873" width="19.50390625" style="10" customWidth="1"/>
    <col min="15874" max="15874" width="17.75390625" style="10" customWidth="1"/>
    <col min="15875" max="15875" width="19.00390625" style="10" customWidth="1"/>
    <col min="15876" max="15876" width="21.25390625" style="10" customWidth="1"/>
    <col min="15877" max="15877" width="45.25390625" style="10" customWidth="1"/>
    <col min="15878" max="16128" width="9.25390625" style="10" customWidth="1"/>
    <col min="16129" max="16129" width="19.50390625" style="10" customWidth="1"/>
    <col min="16130" max="16130" width="17.75390625" style="10" customWidth="1"/>
    <col min="16131" max="16131" width="19.00390625" style="10" customWidth="1"/>
    <col min="16132" max="16132" width="21.25390625" style="10" customWidth="1"/>
    <col min="16133" max="16133" width="45.25390625" style="10" customWidth="1"/>
    <col min="16134" max="16384" width="9.25390625" style="10" customWidth="1"/>
  </cols>
  <sheetData>
    <row r="1" spans="1:5" s="9" customFormat="1" ht="31.5">
      <c r="A1" s="993" t="s">
        <v>1292</v>
      </c>
      <c r="B1" s="994"/>
      <c r="C1" s="994"/>
      <c r="D1" s="994"/>
      <c r="E1" s="994"/>
    </row>
    <row r="2" spans="1:5" s="9" customFormat="1" ht="14.25">
      <c r="A2" s="1029" t="s">
        <v>1170</v>
      </c>
      <c r="B2" s="1029"/>
      <c r="C2" s="1029"/>
      <c r="D2" s="1029"/>
      <c r="E2" s="1029"/>
    </row>
    <row r="3" spans="1:5" ht="25.5">
      <c r="A3" s="1030" t="s">
        <v>1293</v>
      </c>
      <c r="B3" s="1031"/>
      <c r="C3" s="1031"/>
      <c r="D3" s="1031"/>
      <c r="E3" s="1032"/>
    </row>
    <row r="4" spans="1:5" s="7" customFormat="1" ht="19.5" customHeight="1">
      <c r="A4" s="1033" t="s">
        <v>1172</v>
      </c>
      <c r="B4" s="1033"/>
      <c r="C4" s="1033"/>
      <c r="D4" s="1034" t="s">
        <v>1294</v>
      </c>
      <c r="E4" s="1188" t="s">
        <v>1295</v>
      </c>
    </row>
    <row r="5" spans="1:5" s="8" customFormat="1" ht="19.5" customHeight="1">
      <c r="A5" s="683" t="s">
        <v>1176</v>
      </c>
      <c r="B5" s="683" t="s">
        <v>1177</v>
      </c>
      <c r="C5" s="683" t="s">
        <v>1178</v>
      </c>
      <c r="D5" s="1033"/>
      <c r="E5" s="1189"/>
    </row>
    <row r="6" spans="1:5" s="15" customFormat="1" ht="12">
      <c r="A6" s="39">
        <v>5300</v>
      </c>
      <c r="B6" s="26"/>
      <c r="C6" s="37"/>
      <c r="D6" s="38"/>
      <c r="E6" s="45"/>
    </row>
    <row r="7" spans="1:5" s="15" customFormat="1" ht="12">
      <c r="A7" s="526" t="s">
        <v>1296</v>
      </c>
      <c r="B7" s="204"/>
      <c r="C7" s="42"/>
      <c r="D7" s="19">
        <f>D11</f>
        <v>318045000</v>
      </c>
      <c r="E7" s="19"/>
    </row>
    <row r="8" spans="1:5" s="15" customFormat="1" ht="12">
      <c r="A8" s="34"/>
      <c r="B8" s="26">
        <v>5330</v>
      </c>
      <c r="C8" s="40"/>
      <c r="D8" s="18"/>
      <c r="E8" s="41"/>
    </row>
    <row r="9" spans="1:5" s="15" customFormat="1" ht="24">
      <c r="A9" s="34"/>
      <c r="B9" s="33" t="s">
        <v>1162</v>
      </c>
      <c r="C9" s="42"/>
      <c r="D9" s="19">
        <f>D11</f>
        <v>318045000</v>
      </c>
      <c r="E9" s="19"/>
    </row>
    <row r="10" spans="1:5" s="15" customFormat="1" ht="12">
      <c r="A10" s="34"/>
      <c r="B10" s="33"/>
      <c r="C10" s="53">
        <v>5339</v>
      </c>
      <c r="D10" s="18"/>
      <c r="E10" s="18"/>
    </row>
    <row r="11" spans="1:5" s="15" customFormat="1" ht="12">
      <c r="A11" s="34"/>
      <c r="B11" s="33"/>
      <c r="C11" s="46" t="s">
        <v>1163</v>
      </c>
      <c r="D11" s="36">
        <f>SUM(D12:D14)</f>
        <v>318045000</v>
      </c>
      <c r="E11" s="36"/>
    </row>
    <row r="12" spans="1:5" s="15" customFormat="1" ht="12">
      <c r="A12" s="34"/>
      <c r="B12" s="33"/>
      <c r="C12" s="112"/>
      <c r="D12" s="162">
        <v>301405000</v>
      </c>
      <c r="E12" s="161" t="s">
        <v>1425</v>
      </c>
    </row>
    <row r="13" spans="1:5" s="15" customFormat="1" ht="12">
      <c r="A13" s="34"/>
      <c r="B13" s="33"/>
      <c r="C13" s="112"/>
      <c r="D13" s="162">
        <v>4160000</v>
      </c>
      <c r="E13" s="161" t="s">
        <v>1426</v>
      </c>
    </row>
    <row r="14" spans="1:5" s="15" customFormat="1" ht="12">
      <c r="A14" s="34"/>
      <c r="B14" s="33"/>
      <c r="C14" s="112"/>
      <c r="D14" s="162">
        <v>12480000</v>
      </c>
      <c r="E14" s="161" t="s">
        <v>1427</v>
      </c>
    </row>
    <row r="15" spans="1:5" s="15" customFormat="1" ht="12">
      <c r="A15" s="26">
        <v>5400</v>
      </c>
      <c r="B15" s="54"/>
      <c r="C15" s="55"/>
      <c r="D15" s="18"/>
      <c r="E15" s="41"/>
    </row>
    <row r="16" spans="1:5" s="15" customFormat="1" ht="12">
      <c r="A16" s="526" t="s">
        <v>1164</v>
      </c>
      <c r="B16" s="204"/>
      <c r="C16" s="32"/>
      <c r="D16" s="19">
        <f>D18</f>
        <v>4320000</v>
      </c>
      <c r="E16" s="19"/>
    </row>
    <row r="17" spans="1:5" s="15" customFormat="1" ht="12">
      <c r="A17" s="33"/>
      <c r="B17" s="26">
        <v>5410</v>
      </c>
      <c r="C17" s="40"/>
      <c r="D17" s="18"/>
      <c r="E17" s="18"/>
    </row>
    <row r="18" spans="1:5" s="15" customFormat="1" ht="12">
      <c r="A18" s="34"/>
      <c r="B18" s="526" t="s">
        <v>1165</v>
      </c>
      <c r="C18" s="32"/>
      <c r="D18" s="19">
        <f>D20</f>
        <v>4320000</v>
      </c>
      <c r="E18" s="19"/>
    </row>
    <row r="19" spans="1:5" s="15" customFormat="1" ht="12">
      <c r="A19" s="34"/>
      <c r="B19" s="33"/>
      <c r="C19" s="37">
        <v>5411</v>
      </c>
      <c r="D19" s="18"/>
      <c r="E19" s="18"/>
    </row>
    <row r="20" spans="1:5" s="15" customFormat="1" ht="12">
      <c r="A20" s="34"/>
      <c r="B20" s="34"/>
      <c r="C20" s="46" t="s">
        <v>1166</v>
      </c>
      <c r="D20" s="36">
        <f>D21</f>
        <v>4320000</v>
      </c>
      <c r="E20" s="47"/>
    </row>
    <row r="21" spans="1:5" s="15" customFormat="1" ht="12">
      <c r="A21" s="34"/>
      <c r="B21" s="31"/>
      <c r="C21" s="32"/>
      <c r="D21" s="19">
        <v>4320000</v>
      </c>
      <c r="E21" s="195" t="s">
        <v>1317</v>
      </c>
    </row>
    <row r="22" spans="1:5" ht="14.25">
      <c r="A22" s="60" t="s">
        <v>1320</v>
      </c>
      <c r="B22" s="140"/>
      <c r="C22" s="66"/>
      <c r="D22" s="67">
        <f>D24</f>
        <v>177412961</v>
      </c>
      <c r="E22" s="67"/>
    </row>
    <row r="23" spans="1:5" ht="14.25">
      <c r="A23" s="33"/>
      <c r="B23" s="39">
        <v>1100</v>
      </c>
      <c r="C23" s="66"/>
      <c r="D23" s="67"/>
      <c r="E23" s="67"/>
    </row>
    <row r="24" spans="1:5" ht="14.25">
      <c r="A24" s="33"/>
      <c r="B24" s="526" t="s">
        <v>1157</v>
      </c>
      <c r="C24" s="68"/>
      <c r="D24" s="19">
        <f>D26</f>
        <v>177412961</v>
      </c>
      <c r="E24" s="19"/>
    </row>
    <row r="25" spans="1:5" ht="14.25">
      <c r="A25" s="33"/>
      <c r="B25" s="33"/>
      <c r="C25" s="37">
        <v>1100</v>
      </c>
      <c r="D25" s="18"/>
      <c r="E25" s="18"/>
    </row>
    <row r="26" spans="1:5" ht="14.25">
      <c r="A26" s="33"/>
      <c r="B26" s="30"/>
      <c r="C26" s="32" t="s">
        <v>1157</v>
      </c>
      <c r="D26" s="19">
        <v>177412961</v>
      </c>
      <c r="E26" s="139" t="s">
        <v>1321</v>
      </c>
    </row>
    <row r="27" spans="1:5" ht="21" customHeight="1">
      <c r="A27" s="1190" t="s">
        <v>1158</v>
      </c>
      <c r="B27" s="1190"/>
      <c r="C27" s="1190"/>
      <c r="D27" s="171">
        <f>D22+D16+D7</f>
        <v>499777961</v>
      </c>
      <c r="E27" s="170"/>
    </row>
  </sheetData>
  <mergeCells count="7">
    <mergeCell ref="A27:C27"/>
    <mergeCell ref="A1:E1"/>
    <mergeCell ref="A2:E2"/>
    <mergeCell ref="A3:E3"/>
    <mergeCell ref="A4:C4"/>
    <mergeCell ref="D4:D5"/>
    <mergeCell ref="E4:E5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 topLeftCell="A1">
      <selection activeCell="E25" sqref="E25"/>
    </sheetView>
  </sheetViews>
  <sheetFormatPr defaultColWidth="9.00390625" defaultRowHeight="14.25"/>
  <cols>
    <col min="1" max="1" width="16.50390625" style="69" customWidth="1"/>
    <col min="2" max="2" width="16.75390625" style="69" customWidth="1"/>
    <col min="3" max="3" width="18.75390625" style="9" customWidth="1"/>
    <col min="4" max="4" width="21.25390625" style="9" customWidth="1"/>
    <col min="5" max="5" width="45.625" style="9" customWidth="1"/>
    <col min="6" max="6" width="16.125" style="9" bestFit="1" customWidth="1"/>
    <col min="7" max="256" width="9.00390625" style="9" customWidth="1"/>
    <col min="257" max="257" width="16.50390625" style="9" customWidth="1"/>
    <col min="258" max="258" width="16.75390625" style="9" customWidth="1"/>
    <col min="259" max="259" width="18.75390625" style="9" customWidth="1"/>
    <col min="260" max="260" width="21.25390625" style="9" customWidth="1"/>
    <col min="261" max="261" width="45.625" style="9" customWidth="1"/>
    <col min="262" max="262" width="16.125" style="9" bestFit="1" customWidth="1"/>
    <col min="263" max="512" width="9.00390625" style="9" customWidth="1"/>
    <col min="513" max="513" width="16.50390625" style="9" customWidth="1"/>
    <col min="514" max="514" width="16.75390625" style="9" customWidth="1"/>
    <col min="515" max="515" width="18.75390625" style="9" customWidth="1"/>
    <col min="516" max="516" width="21.25390625" style="9" customWidth="1"/>
    <col min="517" max="517" width="45.625" style="9" customWidth="1"/>
    <col min="518" max="518" width="16.125" style="9" bestFit="1" customWidth="1"/>
    <col min="519" max="768" width="9.00390625" style="9" customWidth="1"/>
    <col min="769" max="769" width="16.50390625" style="9" customWidth="1"/>
    <col min="770" max="770" width="16.75390625" style="9" customWidth="1"/>
    <col min="771" max="771" width="18.75390625" style="9" customWidth="1"/>
    <col min="772" max="772" width="21.25390625" style="9" customWidth="1"/>
    <col min="773" max="773" width="45.625" style="9" customWidth="1"/>
    <col min="774" max="774" width="16.125" style="9" bestFit="1" customWidth="1"/>
    <col min="775" max="1024" width="9.00390625" style="9" customWidth="1"/>
    <col min="1025" max="1025" width="16.50390625" style="9" customWidth="1"/>
    <col min="1026" max="1026" width="16.75390625" style="9" customWidth="1"/>
    <col min="1027" max="1027" width="18.75390625" style="9" customWidth="1"/>
    <col min="1028" max="1028" width="21.25390625" style="9" customWidth="1"/>
    <col min="1029" max="1029" width="45.625" style="9" customWidth="1"/>
    <col min="1030" max="1030" width="16.125" style="9" bestFit="1" customWidth="1"/>
    <col min="1031" max="1280" width="9.00390625" style="9" customWidth="1"/>
    <col min="1281" max="1281" width="16.50390625" style="9" customWidth="1"/>
    <col min="1282" max="1282" width="16.75390625" style="9" customWidth="1"/>
    <col min="1283" max="1283" width="18.75390625" style="9" customWidth="1"/>
    <col min="1284" max="1284" width="21.25390625" style="9" customWidth="1"/>
    <col min="1285" max="1285" width="45.625" style="9" customWidth="1"/>
    <col min="1286" max="1286" width="16.125" style="9" bestFit="1" customWidth="1"/>
    <col min="1287" max="1536" width="9.00390625" style="9" customWidth="1"/>
    <col min="1537" max="1537" width="16.50390625" style="9" customWidth="1"/>
    <col min="1538" max="1538" width="16.75390625" style="9" customWidth="1"/>
    <col min="1539" max="1539" width="18.75390625" style="9" customWidth="1"/>
    <col min="1540" max="1540" width="21.25390625" style="9" customWidth="1"/>
    <col min="1541" max="1541" width="45.625" style="9" customWidth="1"/>
    <col min="1542" max="1542" width="16.125" style="9" bestFit="1" customWidth="1"/>
    <col min="1543" max="1792" width="9.00390625" style="9" customWidth="1"/>
    <col min="1793" max="1793" width="16.50390625" style="9" customWidth="1"/>
    <col min="1794" max="1794" width="16.75390625" style="9" customWidth="1"/>
    <col min="1795" max="1795" width="18.75390625" style="9" customWidth="1"/>
    <col min="1796" max="1796" width="21.25390625" style="9" customWidth="1"/>
    <col min="1797" max="1797" width="45.625" style="9" customWidth="1"/>
    <col min="1798" max="1798" width="16.125" style="9" bestFit="1" customWidth="1"/>
    <col min="1799" max="2048" width="9.00390625" style="9" customWidth="1"/>
    <col min="2049" max="2049" width="16.50390625" style="9" customWidth="1"/>
    <col min="2050" max="2050" width="16.75390625" style="9" customWidth="1"/>
    <col min="2051" max="2051" width="18.75390625" style="9" customWidth="1"/>
    <col min="2052" max="2052" width="21.25390625" style="9" customWidth="1"/>
    <col min="2053" max="2053" width="45.625" style="9" customWidth="1"/>
    <col min="2054" max="2054" width="16.125" style="9" bestFit="1" customWidth="1"/>
    <col min="2055" max="2304" width="9.00390625" style="9" customWidth="1"/>
    <col min="2305" max="2305" width="16.50390625" style="9" customWidth="1"/>
    <col min="2306" max="2306" width="16.75390625" style="9" customWidth="1"/>
    <col min="2307" max="2307" width="18.75390625" style="9" customWidth="1"/>
    <col min="2308" max="2308" width="21.25390625" style="9" customWidth="1"/>
    <col min="2309" max="2309" width="45.625" style="9" customWidth="1"/>
    <col min="2310" max="2310" width="16.125" style="9" bestFit="1" customWidth="1"/>
    <col min="2311" max="2560" width="9.00390625" style="9" customWidth="1"/>
    <col min="2561" max="2561" width="16.50390625" style="9" customWidth="1"/>
    <col min="2562" max="2562" width="16.75390625" style="9" customWidth="1"/>
    <col min="2563" max="2563" width="18.75390625" style="9" customWidth="1"/>
    <col min="2564" max="2564" width="21.25390625" style="9" customWidth="1"/>
    <col min="2565" max="2565" width="45.625" style="9" customWidth="1"/>
    <col min="2566" max="2566" width="16.125" style="9" bestFit="1" customWidth="1"/>
    <col min="2567" max="2816" width="9.00390625" style="9" customWidth="1"/>
    <col min="2817" max="2817" width="16.50390625" style="9" customWidth="1"/>
    <col min="2818" max="2818" width="16.75390625" style="9" customWidth="1"/>
    <col min="2819" max="2819" width="18.75390625" style="9" customWidth="1"/>
    <col min="2820" max="2820" width="21.25390625" style="9" customWidth="1"/>
    <col min="2821" max="2821" width="45.625" style="9" customWidth="1"/>
    <col min="2822" max="2822" width="16.125" style="9" bestFit="1" customWidth="1"/>
    <col min="2823" max="3072" width="9.00390625" style="9" customWidth="1"/>
    <col min="3073" max="3073" width="16.50390625" style="9" customWidth="1"/>
    <col min="3074" max="3074" width="16.75390625" style="9" customWidth="1"/>
    <col min="3075" max="3075" width="18.75390625" style="9" customWidth="1"/>
    <col min="3076" max="3076" width="21.25390625" style="9" customWidth="1"/>
    <col min="3077" max="3077" width="45.625" style="9" customWidth="1"/>
    <col min="3078" max="3078" width="16.125" style="9" bestFit="1" customWidth="1"/>
    <col min="3079" max="3328" width="9.00390625" style="9" customWidth="1"/>
    <col min="3329" max="3329" width="16.50390625" style="9" customWidth="1"/>
    <col min="3330" max="3330" width="16.75390625" style="9" customWidth="1"/>
    <col min="3331" max="3331" width="18.75390625" style="9" customWidth="1"/>
    <col min="3332" max="3332" width="21.25390625" style="9" customWidth="1"/>
    <col min="3333" max="3333" width="45.625" style="9" customWidth="1"/>
    <col min="3334" max="3334" width="16.125" style="9" bestFit="1" customWidth="1"/>
    <col min="3335" max="3584" width="9.00390625" style="9" customWidth="1"/>
    <col min="3585" max="3585" width="16.50390625" style="9" customWidth="1"/>
    <col min="3586" max="3586" width="16.75390625" style="9" customWidth="1"/>
    <col min="3587" max="3587" width="18.75390625" style="9" customWidth="1"/>
    <col min="3588" max="3588" width="21.25390625" style="9" customWidth="1"/>
    <col min="3589" max="3589" width="45.625" style="9" customWidth="1"/>
    <col min="3590" max="3590" width="16.125" style="9" bestFit="1" customWidth="1"/>
    <col min="3591" max="3840" width="9.00390625" style="9" customWidth="1"/>
    <col min="3841" max="3841" width="16.50390625" style="9" customWidth="1"/>
    <col min="3842" max="3842" width="16.75390625" style="9" customWidth="1"/>
    <col min="3843" max="3843" width="18.75390625" style="9" customWidth="1"/>
    <col min="3844" max="3844" width="21.25390625" style="9" customWidth="1"/>
    <col min="3845" max="3845" width="45.625" style="9" customWidth="1"/>
    <col min="3846" max="3846" width="16.125" style="9" bestFit="1" customWidth="1"/>
    <col min="3847" max="4096" width="9.00390625" style="9" customWidth="1"/>
    <col min="4097" max="4097" width="16.50390625" style="9" customWidth="1"/>
    <col min="4098" max="4098" width="16.75390625" style="9" customWidth="1"/>
    <col min="4099" max="4099" width="18.75390625" style="9" customWidth="1"/>
    <col min="4100" max="4100" width="21.25390625" style="9" customWidth="1"/>
    <col min="4101" max="4101" width="45.625" style="9" customWidth="1"/>
    <col min="4102" max="4102" width="16.125" style="9" bestFit="1" customWidth="1"/>
    <col min="4103" max="4352" width="9.00390625" style="9" customWidth="1"/>
    <col min="4353" max="4353" width="16.50390625" style="9" customWidth="1"/>
    <col min="4354" max="4354" width="16.75390625" style="9" customWidth="1"/>
    <col min="4355" max="4355" width="18.75390625" style="9" customWidth="1"/>
    <col min="4356" max="4356" width="21.25390625" style="9" customWidth="1"/>
    <col min="4357" max="4357" width="45.625" style="9" customWidth="1"/>
    <col min="4358" max="4358" width="16.125" style="9" bestFit="1" customWidth="1"/>
    <col min="4359" max="4608" width="9.00390625" style="9" customWidth="1"/>
    <col min="4609" max="4609" width="16.50390625" style="9" customWidth="1"/>
    <col min="4610" max="4610" width="16.75390625" style="9" customWidth="1"/>
    <col min="4611" max="4611" width="18.75390625" style="9" customWidth="1"/>
    <col min="4612" max="4612" width="21.25390625" style="9" customWidth="1"/>
    <col min="4613" max="4613" width="45.625" style="9" customWidth="1"/>
    <col min="4614" max="4614" width="16.125" style="9" bestFit="1" customWidth="1"/>
    <col min="4615" max="4864" width="9.00390625" style="9" customWidth="1"/>
    <col min="4865" max="4865" width="16.50390625" style="9" customWidth="1"/>
    <col min="4866" max="4866" width="16.75390625" style="9" customWidth="1"/>
    <col min="4867" max="4867" width="18.75390625" style="9" customWidth="1"/>
    <col min="4868" max="4868" width="21.25390625" style="9" customWidth="1"/>
    <col min="4869" max="4869" width="45.625" style="9" customWidth="1"/>
    <col min="4870" max="4870" width="16.125" style="9" bestFit="1" customWidth="1"/>
    <col min="4871" max="5120" width="9.00390625" style="9" customWidth="1"/>
    <col min="5121" max="5121" width="16.50390625" style="9" customWidth="1"/>
    <col min="5122" max="5122" width="16.75390625" style="9" customWidth="1"/>
    <col min="5123" max="5123" width="18.75390625" style="9" customWidth="1"/>
    <col min="5124" max="5124" width="21.25390625" style="9" customWidth="1"/>
    <col min="5125" max="5125" width="45.625" style="9" customWidth="1"/>
    <col min="5126" max="5126" width="16.125" style="9" bestFit="1" customWidth="1"/>
    <col min="5127" max="5376" width="9.00390625" style="9" customWidth="1"/>
    <col min="5377" max="5377" width="16.50390625" style="9" customWidth="1"/>
    <col min="5378" max="5378" width="16.75390625" style="9" customWidth="1"/>
    <col min="5379" max="5379" width="18.75390625" style="9" customWidth="1"/>
    <col min="5380" max="5380" width="21.25390625" style="9" customWidth="1"/>
    <col min="5381" max="5381" width="45.625" style="9" customWidth="1"/>
    <col min="5382" max="5382" width="16.125" style="9" bestFit="1" customWidth="1"/>
    <col min="5383" max="5632" width="9.00390625" style="9" customWidth="1"/>
    <col min="5633" max="5633" width="16.50390625" style="9" customWidth="1"/>
    <col min="5634" max="5634" width="16.75390625" style="9" customWidth="1"/>
    <col min="5635" max="5635" width="18.75390625" style="9" customWidth="1"/>
    <col min="5636" max="5636" width="21.25390625" style="9" customWidth="1"/>
    <col min="5637" max="5637" width="45.625" style="9" customWidth="1"/>
    <col min="5638" max="5638" width="16.125" style="9" bestFit="1" customWidth="1"/>
    <col min="5639" max="5888" width="9.00390625" style="9" customWidth="1"/>
    <col min="5889" max="5889" width="16.50390625" style="9" customWidth="1"/>
    <col min="5890" max="5890" width="16.75390625" style="9" customWidth="1"/>
    <col min="5891" max="5891" width="18.75390625" style="9" customWidth="1"/>
    <col min="5892" max="5892" width="21.25390625" style="9" customWidth="1"/>
    <col min="5893" max="5893" width="45.625" style="9" customWidth="1"/>
    <col min="5894" max="5894" width="16.125" style="9" bestFit="1" customWidth="1"/>
    <col min="5895" max="6144" width="9.00390625" style="9" customWidth="1"/>
    <col min="6145" max="6145" width="16.50390625" style="9" customWidth="1"/>
    <col min="6146" max="6146" width="16.75390625" style="9" customWidth="1"/>
    <col min="6147" max="6147" width="18.75390625" style="9" customWidth="1"/>
    <col min="6148" max="6148" width="21.25390625" style="9" customWidth="1"/>
    <col min="6149" max="6149" width="45.625" style="9" customWidth="1"/>
    <col min="6150" max="6150" width="16.125" style="9" bestFit="1" customWidth="1"/>
    <col min="6151" max="6400" width="9.00390625" style="9" customWidth="1"/>
    <col min="6401" max="6401" width="16.50390625" style="9" customWidth="1"/>
    <col min="6402" max="6402" width="16.75390625" style="9" customWidth="1"/>
    <col min="6403" max="6403" width="18.75390625" style="9" customWidth="1"/>
    <col min="6404" max="6404" width="21.25390625" style="9" customWidth="1"/>
    <col min="6405" max="6405" width="45.625" style="9" customWidth="1"/>
    <col min="6406" max="6406" width="16.125" style="9" bestFit="1" customWidth="1"/>
    <col min="6407" max="6656" width="9.00390625" style="9" customWidth="1"/>
    <col min="6657" max="6657" width="16.50390625" style="9" customWidth="1"/>
    <col min="6658" max="6658" width="16.75390625" style="9" customWidth="1"/>
    <col min="6659" max="6659" width="18.75390625" style="9" customWidth="1"/>
    <col min="6660" max="6660" width="21.25390625" style="9" customWidth="1"/>
    <col min="6661" max="6661" width="45.625" style="9" customWidth="1"/>
    <col min="6662" max="6662" width="16.125" style="9" bestFit="1" customWidth="1"/>
    <col min="6663" max="6912" width="9.00390625" style="9" customWidth="1"/>
    <col min="6913" max="6913" width="16.50390625" style="9" customWidth="1"/>
    <col min="6914" max="6914" width="16.75390625" style="9" customWidth="1"/>
    <col min="6915" max="6915" width="18.75390625" style="9" customWidth="1"/>
    <col min="6916" max="6916" width="21.25390625" style="9" customWidth="1"/>
    <col min="6917" max="6917" width="45.625" style="9" customWidth="1"/>
    <col min="6918" max="6918" width="16.125" style="9" bestFit="1" customWidth="1"/>
    <col min="6919" max="7168" width="9.00390625" style="9" customWidth="1"/>
    <col min="7169" max="7169" width="16.50390625" style="9" customWidth="1"/>
    <col min="7170" max="7170" width="16.75390625" style="9" customWidth="1"/>
    <col min="7171" max="7171" width="18.75390625" style="9" customWidth="1"/>
    <col min="7172" max="7172" width="21.25390625" style="9" customWidth="1"/>
    <col min="7173" max="7173" width="45.625" style="9" customWidth="1"/>
    <col min="7174" max="7174" width="16.125" style="9" bestFit="1" customWidth="1"/>
    <col min="7175" max="7424" width="9.00390625" style="9" customWidth="1"/>
    <col min="7425" max="7425" width="16.50390625" style="9" customWidth="1"/>
    <col min="7426" max="7426" width="16.75390625" style="9" customWidth="1"/>
    <col min="7427" max="7427" width="18.75390625" style="9" customWidth="1"/>
    <col min="7428" max="7428" width="21.25390625" style="9" customWidth="1"/>
    <col min="7429" max="7429" width="45.625" style="9" customWidth="1"/>
    <col min="7430" max="7430" width="16.125" style="9" bestFit="1" customWidth="1"/>
    <col min="7431" max="7680" width="9.00390625" style="9" customWidth="1"/>
    <col min="7681" max="7681" width="16.50390625" style="9" customWidth="1"/>
    <col min="7682" max="7682" width="16.75390625" style="9" customWidth="1"/>
    <col min="7683" max="7683" width="18.75390625" style="9" customWidth="1"/>
    <col min="7684" max="7684" width="21.25390625" style="9" customWidth="1"/>
    <col min="7685" max="7685" width="45.625" style="9" customWidth="1"/>
    <col min="7686" max="7686" width="16.125" style="9" bestFit="1" customWidth="1"/>
    <col min="7687" max="7936" width="9.00390625" style="9" customWidth="1"/>
    <col min="7937" max="7937" width="16.50390625" style="9" customWidth="1"/>
    <col min="7938" max="7938" width="16.75390625" style="9" customWidth="1"/>
    <col min="7939" max="7939" width="18.75390625" style="9" customWidth="1"/>
    <col min="7940" max="7940" width="21.25390625" style="9" customWidth="1"/>
    <col min="7941" max="7941" width="45.625" style="9" customWidth="1"/>
    <col min="7942" max="7942" width="16.125" style="9" bestFit="1" customWidth="1"/>
    <col min="7943" max="8192" width="9.00390625" style="9" customWidth="1"/>
    <col min="8193" max="8193" width="16.50390625" style="9" customWidth="1"/>
    <col min="8194" max="8194" width="16.75390625" style="9" customWidth="1"/>
    <col min="8195" max="8195" width="18.75390625" style="9" customWidth="1"/>
    <col min="8196" max="8196" width="21.25390625" style="9" customWidth="1"/>
    <col min="8197" max="8197" width="45.625" style="9" customWidth="1"/>
    <col min="8198" max="8198" width="16.125" style="9" bestFit="1" customWidth="1"/>
    <col min="8199" max="8448" width="9.00390625" style="9" customWidth="1"/>
    <col min="8449" max="8449" width="16.50390625" style="9" customWidth="1"/>
    <col min="8450" max="8450" width="16.75390625" style="9" customWidth="1"/>
    <col min="8451" max="8451" width="18.75390625" style="9" customWidth="1"/>
    <col min="8452" max="8452" width="21.25390625" style="9" customWidth="1"/>
    <col min="8453" max="8453" width="45.625" style="9" customWidth="1"/>
    <col min="8454" max="8454" width="16.125" style="9" bestFit="1" customWidth="1"/>
    <col min="8455" max="8704" width="9.00390625" style="9" customWidth="1"/>
    <col min="8705" max="8705" width="16.50390625" style="9" customWidth="1"/>
    <col min="8706" max="8706" width="16.75390625" style="9" customWidth="1"/>
    <col min="8707" max="8707" width="18.75390625" style="9" customWidth="1"/>
    <col min="8708" max="8708" width="21.25390625" style="9" customWidth="1"/>
    <col min="8709" max="8709" width="45.625" style="9" customWidth="1"/>
    <col min="8710" max="8710" width="16.125" style="9" bestFit="1" customWidth="1"/>
    <col min="8711" max="8960" width="9.00390625" style="9" customWidth="1"/>
    <col min="8961" max="8961" width="16.50390625" style="9" customWidth="1"/>
    <col min="8962" max="8962" width="16.75390625" style="9" customWidth="1"/>
    <col min="8963" max="8963" width="18.75390625" style="9" customWidth="1"/>
    <col min="8964" max="8964" width="21.25390625" style="9" customWidth="1"/>
    <col min="8965" max="8965" width="45.625" style="9" customWidth="1"/>
    <col min="8966" max="8966" width="16.125" style="9" bestFit="1" customWidth="1"/>
    <col min="8967" max="9216" width="9.00390625" style="9" customWidth="1"/>
    <col min="9217" max="9217" width="16.50390625" style="9" customWidth="1"/>
    <col min="9218" max="9218" width="16.75390625" style="9" customWidth="1"/>
    <col min="9219" max="9219" width="18.75390625" style="9" customWidth="1"/>
    <col min="9220" max="9220" width="21.25390625" style="9" customWidth="1"/>
    <col min="9221" max="9221" width="45.625" style="9" customWidth="1"/>
    <col min="9222" max="9222" width="16.125" style="9" bestFit="1" customWidth="1"/>
    <col min="9223" max="9472" width="9.00390625" style="9" customWidth="1"/>
    <col min="9473" max="9473" width="16.50390625" style="9" customWidth="1"/>
    <col min="9474" max="9474" width="16.75390625" style="9" customWidth="1"/>
    <col min="9475" max="9475" width="18.75390625" style="9" customWidth="1"/>
    <col min="9476" max="9476" width="21.25390625" style="9" customWidth="1"/>
    <col min="9477" max="9477" width="45.625" style="9" customWidth="1"/>
    <col min="9478" max="9478" width="16.125" style="9" bestFit="1" customWidth="1"/>
    <col min="9479" max="9728" width="9.00390625" style="9" customWidth="1"/>
    <col min="9729" max="9729" width="16.50390625" style="9" customWidth="1"/>
    <col min="9730" max="9730" width="16.75390625" style="9" customWidth="1"/>
    <col min="9731" max="9731" width="18.75390625" style="9" customWidth="1"/>
    <col min="9732" max="9732" width="21.25390625" style="9" customWidth="1"/>
    <col min="9733" max="9733" width="45.625" style="9" customWidth="1"/>
    <col min="9734" max="9734" width="16.125" style="9" bestFit="1" customWidth="1"/>
    <col min="9735" max="9984" width="9.00390625" style="9" customWidth="1"/>
    <col min="9985" max="9985" width="16.50390625" style="9" customWidth="1"/>
    <col min="9986" max="9986" width="16.75390625" style="9" customWidth="1"/>
    <col min="9987" max="9987" width="18.75390625" style="9" customWidth="1"/>
    <col min="9988" max="9988" width="21.25390625" style="9" customWidth="1"/>
    <col min="9989" max="9989" width="45.625" style="9" customWidth="1"/>
    <col min="9990" max="9990" width="16.125" style="9" bestFit="1" customWidth="1"/>
    <col min="9991" max="10240" width="9.00390625" style="9" customWidth="1"/>
    <col min="10241" max="10241" width="16.50390625" style="9" customWidth="1"/>
    <col min="10242" max="10242" width="16.75390625" style="9" customWidth="1"/>
    <col min="10243" max="10243" width="18.75390625" style="9" customWidth="1"/>
    <col min="10244" max="10244" width="21.25390625" style="9" customWidth="1"/>
    <col min="10245" max="10245" width="45.625" style="9" customWidth="1"/>
    <col min="10246" max="10246" width="16.125" style="9" bestFit="1" customWidth="1"/>
    <col min="10247" max="10496" width="9.00390625" style="9" customWidth="1"/>
    <col min="10497" max="10497" width="16.50390625" style="9" customWidth="1"/>
    <col min="10498" max="10498" width="16.75390625" style="9" customWidth="1"/>
    <col min="10499" max="10499" width="18.75390625" style="9" customWidth="1"/>
    <col min="10500" max="10500" width="21.25390625" style="9" customWidth="1"/>
    <col min="10501" max="10501" width="45.625" style="9" customWidth="1"/>
    <col min="10502" max="10502" width="16.125" style="9" bestFit="1" customWidth="1"/>
    <col min="10503" max="10752" width="9.00390625" style="9" customWidth="1"/>
    <col min="10753" max="10753" width="16.50390625" style="9" customWidth="1"/>
    <col min="10754" max="10754" width="16.75390625" style="9" customWidth="1"/>
    <col min="10755" max="10755" width="18.75390625" style="9" customWidth="1"/>
    <col min="10756" max="10756" width="21.25390625" style="9" customWidth="1"/>
    <col min="10757" max="10757" width="45.625" style="9" customWidth="1"/>
    <col min="10758" max="10758" width="16.125" style="9" bestFit="1" customWidth="1"/>
    <col min="10759" max="11008" width="9.00390625" style="9" customWidth="1"/>
    <col min="11009" max="11009" width="16.50390625" style="9" customWidth="1"/>
    <col min="11010" max="11010" width="16.75390625" style="9" customWidth="1"/>
    <col min="11011" max="11011" width="18.75390625" style="9" customWidth="1"/>
    <col min="11012" max="11012" width="21.25390625" style="9" customWidth="1"/>
    <col min="11013" max="11013" width="45.625" style="9" customWidth="1"/>
    <col min="11014" max="11014" width="16.125" style="9" bestFit="1" customWidth="1"/>
    <col min="11015" max="11264" width="9.00390625" style="9" customWidth="1"/>
    <col min="11265" max="11265" width="16.50390625" style="9" customWidth="1"/>
    <col min="11266" max="11266" width="16.75390625" style="9" customWidth="1"/>
    <col min="11267" max="11267" width="18.75390625" style="9" customWidth="1"/>
    <col min="11268" max="11268" width="21.25390625" style="9" customWidth="1"/>
    <col min="11269" max="11269" width="45.625" style="9" customWidth="1"/>
    <col min="11270" max="11270" width="16.125" style="9" bestFit="1" customWidth="1"/>
    <col min="11271" max="11520" width="9.00390625" style="9" customWidth="1"/>
    <col min="11521" max="11521" width="16.50390625" style="9" customWidth="1"/>
    <col min="11522" max="11522" width="16.75390625" style="9" customWidth="1"/>
    <col min="11523" max="11523" width="18.75390625" style="9" customWidth="1"/>
    <col min="11524" max="11524" width="21.25390625" style="9" customWidth="1"/>
    <col min="11525" max="11525" width="45.625" style="9" customWidth="1"/>
    <col min="11526" max="11526" width="16.125" style="9" bestFit="1" customWidth="1"/>
    <col min="11527" max="11776" width="9.00390625" style="9" customWidth="1"/>
    <col min="11777" max="11777" width="16.50390625" style="9" customWidth="1"/>
    <col min="11778" max="11778" width="16.75390625" style="9" customWidth="1"/>
    <col min="11779" max="11779" width="18.75390625" style="9" customWidth="1"/>
    <col min="11780" max="11780" width="21.25390625" style="9" customWidth="1"/>
    <col min="11781" max="11781" width="45.625" style="9" customWidth="1"/>
    <col min="11782" max="11782" width="16.125" style="9" bestFit="1" customWidth="1"/>
    <col min="11783" max="12032" width="9.00390625" style="9" customWidth="1"/>
    <col min="12033" max="12033" width="16.50390625" style="9" customWidth="1"/>
    <col min="12034" max="12034" width="16.75390625" style="9" customWidth="1"/>
    <col min="12035" max="12035" width="18.75390625" style="9" customWidth="1"/>
    <col min="12036" max="12036" width="21.25390625" style="9" customWidth="1"/>
    <col min="12037" max="12037" width="45.625" style="9" customWidth="1"/>
    <col min="12038" max="12038" width="16.125" style="9" bestFit="1" customWidth="1"/>
    <col min="12039" max="12288" width="9.00390625" style="9" customWidth="1"/>
    <col min="12289" max="12289" width="16.50390625" style="9" customWidth="1"/>
    <col min="12290" max="12290" width="16.75390625" style="9" customWidth="1"/>
    <col min="12291" max="12291" width="18.75390625" style="9" customWidth="1"/>
    <col min="12292" max="12292" width="21.25390625" style="9" customWidth="1"/>
    <col min="12293" max="12293" width="45.625" style="9" customWidth="1"/>
    <col min="12294" max="12294" width="16.125" style="9" bestFit="1" customWidth="1"/>
    <col min="12295" max="12544" width="9.00390625" style="9" customWidth="1"/>
    <col min="12545" max="12545" width="16.50390625" style="9" customWidth="1"/>
    <col min="12546" max="12546" width="16.75390625" style="9" customWidth="1"/>
    <col min="12547" max="12547" width="18.75390625" style="9" customWidth="1"/>
    <col min="12548" max="12548" width="21.25390625" style="9" customWidth="1"/>
    <col min="12549" max="12549" width="45.625" style="9" customWidth="1"/>
    <col min="12550" max="12550" width="16.125" style="9" bestFit="1" customWidth="1"/>
    <col min="12551" max="12800" width="9.00390625" style="9" customWidth="1"/>
    <col min="12801" max="12801" width="16.50390625" style="9" customWidth="1"/>
    <col min="12802" max="12802" width="16.75390625" style="9" customWidth="1"/>
    <col min="12803" max="12803" width="18.75390625" style="9" customWidth="1"/>
    <col min="12804" max="12804" width="21.25390625" style="9" customWidth="1"/>
    <col min="12805" max="12805" width="45.625" style="9" customWidth="1"/>
    <col min="12806" max="12806" width="16.125" style="9" bestFit="1" customWidth="1"/>
    <col min="12807" max="13056" width="9.00390625" style="9" customWidth="1"/>
    <col min="13057" max="13057" width="16.50390625" style="9" customWidth="1"/>
    <col min="13058" max="13058" width="16.75390625" style="9" customWidth="1"/>
    <col min="13059" max="13059" width="18.75390625" style="9" customWidth="1"/>
    <col min="13060" max="13060" width="21.25390625" style="9" customWidth="1"/>
    <col min="13061" max="13061" width="45.625" style="9" customWidth="1"/>
    <col min="13062" max="13062" width="16.125" style="9" bestFit="1" customWidth="1"/>
    <col min="13063" max="13312" width="9.00390625" style="9" customWidth="1"/>
    <col min="13313" max="13313" width="16.50390625" style="9" customWidth="1"/>
    <col min="13314" max="13314" width="16.75390625" style="9" customWidth="1"/>
    <col min="13315" max="13315" width="18.75390625" style="9" customWidth="1"/>
    <col min="13316" max="13316" width="21.25390625" style="9" customWidth="1"/>
    <col min="13317" max="13317" width="45.625" style="9" customWidth="1"/>
    <col min="13318" max="13318" width="16.125" style="9" bestFit="1" customWidth="1"/>
    <col min="13319" max="13568" width="9.00390625" style="9" customWidth="1"/>
    <col min="13569" max="13569" width="16.50390625" style="9" customWidth="1"/>
    <col min="13570" max="13570" width="16.75390625" style="9" customWidth="1"/>
    <col min="13571" max="13571" width="18.75390625" style="9" customWidth="1"/>
    <col min="13572" max="13572" width="21.25390625" style="9" customWidth="1"/>
    <col min="13573" max="13573" width="45.625" style="9" customWidth="1"/>
    <col min="13574" max="13574" width="16.125" style="9" bestFit="1" customWidth="1"/>
    <col min="13575" max="13824" width="9.00390625" style="9" customWidth="1"/>
    <col min="13825" max="13825" width="16.50390625" style="9" customWidth="1"/>
    <col min="13826" max="13826" width="16.75390625" style="9" customWidth="1"/>
    <col min="13827" max="13827" width="18.75390625" style="9" customWidth="1"/>
    <col min="13828" max="13828" width="21.25390625" style="9" customWidth="1"/>
    <col min="13829" max="13829" width="45.625" style="9" customWidth="1"/>
    <col min="13830" max="13830" width="16.125" style="9" bestFit="1" customWidth="1"/>
    <col min="13831" max="14080" width="9.00390625" style="9" customWidth="1"/>
    <col min="14081" max="14081" width="16.50390625" style="9" customWidth="1"/>
    <col min="14082" max="14082" width="16.75390625" style="9" customWidth="1"/>
    <col min="14083" max="14083" width="18.75390625" style="9" customWidth="1"/>
    <col min="14084" max="14084" width="21.25390625" style="9" customWidth="1"/>
    <col min="14085" max="14085" width="45.625" style="9" customWidth="1"/>
    <col min="14086" max="14086" width="16.125" style="9" bestFit="1" customWidth="1"/>
    <col min="14087" max="14336" width="9.00390625" style="9" customWidth="1"/>
    <col min="14337" max="14337" width="16.50390625" style="9" customWidth="1"/>
    <col min="14338" max="14338" width="16.75390625" style="9" customWidth="1"/>
    <col min="14339" max="14339" width="18.75390625" style="9" customWidth="1"/>
    <col min="14340" max="14340" width="21.25390625" style="9" customWidth="1"/>
    <col min="14341" max="14341" width="45.625" style="9" customWidth="1"/>
    <col min="14342" max="14342" width="16.125" style="9" bestFit="1" customWidth="1"/>
    <col min="14343" max="14592" width="9.00390625" style="9" customWidth="1"/>
    <col min="14593" max="14593" width="16.50390625" style="9" customWidth="1"/>
    <col min="14594" max="14594" width="16.75390625" style="9" customWidth="1"/>
    <col min="14595" max="14595" width="18.75390625" style="9" customWidth="1"/>
    <col min="14596" max="14596" width="21.25390625" style="9" customWidth="1"/>
    <col min="14597" max="14597" width="45.625" style="9" customWidth="1"/>
    <col min="14598" max="14598" width="16.125" style="9" bestFit="1" customWidth="1"/>
    <col min="14599" max="14848" width="9.00390625" style="9" customWidth="1"/>
    <col min="14849" max="14849" width="16.50390625" style="9" customWidth="1"/>
    <col min="14850" max="14850" width="16.75390625" style="9" customWidth="1"/>
    <col min="14851" max="14851" width="18.75390625" style="9" customWidth="1"/>
    <col min="14852" max="14852" width="21.25390625" style="9" customWidth="1"/>
    <col min="14853" max="14853" width="45.625" style="9" customWidth="1"/>
    <col min="14854" max="14854" width="16.125" style="9" bestFit="1" customWidth="1"/>
    <col min="14855" max="15104" width="9.00390625" style="9" customWidth="1"/>
    <col min="15105" max="15105" width="16.50390625" style="9" customWidth="1"/>
    <col min="15106" max="15106" width="16.75390625" style="9" customWidth="1"/>
    <col min="15107" max="15107" width="18.75390625" style="9" customWidth="1"/>
    <col min="15108" max="15108" width="21.25390625" style="9" customWidth="1"/>
    <col min="15109" max="15109" width="45.625" style="9" customWidth="1"/>
    <col min="15110" max="15110" width="16.125" style="9" bestFit="1" customWidth="1"/>
    <col min="15111" max="15360" width="9.00390625" style="9" customWidth="1"/>
    <col min="15361" max="15361" width="16.50390625" style="9" customWidth="1"/>
    <col min="15362" max="15362" width="16.75390625" style="9" customWidth="1"/>
    <col min="15363" max="15363" width="18.75390625" style="9" customWidth="1"/>
    <col min="15364" max="15364" width="21.25390625" style="9" customWidth="1"/>
    <col min="15365" max="15365" width="45.625" style="9" customWidth="1"/>
    <col min="15366" max="15366" width="16.125" style="9" bestFit="1" customWidth="1"/>
    <col min="15367" max="15616" width="9.00390625" style="9" customWidth="1"/>
    <col min="15617" max="15617" width="16.50390625" style="9" customWidth="1"/>
    <col min="15618" max="15618" width="16.75390625" style="9" customWidth="1"/>
    <col min="15619" max="15619" width="18.75390625" style="9" customWidth="1"/>
    <col min="15620" max="15620" width="21.25390625" style="9" customWidth="1"/>
    <col min="15621" max="15621" width="45.625" style="9" customWidth="1"/>
    <col min="15622" max="15622" width="16.125" style="9" bestFit="1" customWidth="1"/>
    <col min="15623" max="15872" width="9.00390625" style="9" customWidth="1"/>
    <col min="15873" max="15873" width="16.50390625" style="9" customWidth="1"/>
    <col min="15874" max="15874" width="16.75390625" style="9" customWidth="1"/>
    <col min="15875" max="15875" width="18.75390625" style="9" customWidth="1"/>
    <col min="15876" max="15876" width="21.25390625" style="9" customWidth="1"/>
    <col min="15877" max="15877" width="45.625" style="9" customWidth="1"/>
    <col min="15878" max="15878" width="16.125" style="9" bestFit="1" customWidth="1"/>
    <col min="15879" max="16128" width="9.00390625" style="9" customWidth="1"/>
    <col min="16129" max="16129" width="16.50390625" style="9" customWidth="1"/>
    <col min="16130" max="16130" width="16.75390625" style="9" customWidth="1"/>
    <col min="16131" max="16131" width="18.75390625" style="9" customWidth="1"/>
    <col min="16132" max="16132" width="21.25390625" style="9" customWidth="1"/>
    <col min="16133" max="16133" width="45.625" style="9" customWidth="1"/>
    <col min="16134" max="16134" width="16.125" style="9" bestFit="1" customWidth="1"/>
    <col min="16135" max="16384" width="9.00390625" style="9" customWidth="1"/>
  </cols>
  <sheetData>
    <row r="1" spans="1:5" ht="32.25" customHeight="1">
      <c r="A1" s="993" t="s">
        <v>1292</v>
      </c>
      <c r="B1" s="994"/>
      <c r="C1" s="994"/>
      <c r="D1" s="994"/>
      <c r="E1" s="994"/>
    </row>
    <row r="2" spans="1:5" ht="30" customHeight="1">
      <c r="A2" s="995" t="s">
        <v>1170</v>
      </c>
      <c r="B2" s="995"/>
      <c r="C2" s="995"/>
      <c r="D2" s="995"/>
      <c r="E2" s="995"/>
    </row>
    <row r="3" spans="1:5" s="72" customFormat="1" ht="27" customHeight="1">
      <c r="A3" s="1191" t="s">
        <v>1171</v>
      </c>
      <c r="B3" s="1191"/>
      <c r="C3" s="1191"/>
      <c r="D3" s="1191"/>
      <c r="E3" s="1191"/>
    </row>
    <row r="4" spans="1:5" s="73" customFormat="1" ht="18" customHeight="1">
      <c r="A4" s="1033" t="s">
        <v>1172</v>
      </c>
      <c r="B4" s="1033"/>
      <c r="C4" s="1033"/>
      <c r="D4" s="1034" t="s">
        <v>1294</v>
      </c>
      <c r="E4" s="1188" t="s">
        <v>1295</v>
      </c>
    </row>
    <row r="5" spans="1:5" s="73" customFormat="1" ht="19.5" customHeight="1">
      <c r="A5" s="683" t="s">
        <v>1176</v>
      </c>
      <c r="B5" s="683" t="s">
        <v>1177</v>
      </c>
      <c r="C5" s="683" t="s">
        <v>1178</v>
      </c>
      <c r="D5" s="1033"/>
      <c r="E5" s="1189"/>
    </row>
    <row r="6" spans="1:5" s="77" customFormat="1" ht="12">
      <c r="A6" s="334">
        <v>4100</v>
      </c>
      <c r="B6" s="589"/>
      <c r="C6" s="589"/>
      <c r="D6" s="605"/>
      <c r="E6" s="29"/>
    </row>
    <row r="7" spans="1:5" s="77" customFormat="1" ht="12">
      <c r="A7" s="684" t="s">
        <v>1182</v>
      </c>
      <c r="B7" s="685"/>
      <c r="C7" s="367"/>
      <c r="D7" s="606">
        <v>0</v>
      </c>
      <c r="E7" s="36"/>
    </row>
    <row r="8" spans="1:5" s="77" customFormat="1" ht="12">
      <c r="A8" s="591"/>
      <c r="B8" s="590">
        <v>4120</v>
      </c>
      <c r="C8" s="595"/>
      <c r="D8" s="609"/>
      <c r="E8" s="18"/>
    </row>
    <row r="9" spans="1:5" s="77" customFormat="1" ht="12">
      <c r="A9" s="591"/>
      <c r="B9" s="684" t="s">
        <v>1186</v>
      </c>
      <c r="C9" s="592"/>
      <c r="D9" s="606">
        <v>0</v>
      </c>
      <c r="E9" s="36"/>
    </row>
    <row r="10" spans="1:5" s="77" customFormat="1" ht="12">
      <c r="A10" s="591"/>
      <c r="B10" s="591"/>
      <c r="C10" s="594"/>
      <c r="D10" s="609"/>
      <c r="E10" s="18"/>
    </row>
    <row r="11" spans="1:5" s="77" customFormat="1" ht="12">
      <c r="A11" s="591"/>
      <c r="B11" s="591"/>
      <c r="C11" s="592"/>
      <c r="D11" s="606">
        <v>0</v>
      </c>
      <c r="E11" s="19"/>
    </row>
    <row r="12" spans="1:5" s="77" customFormat="1" ht="12">
      <c r="A12" s="590">
        <v>4200</v>
      </c>
      <c r="B12" s="686"/>
      <c r="C12" s="595"/>
      <c r="D12" s="609"/>
      <c r="E12" s="138"/>
    </row>
    <row r="13" spans="1:5" s="77" customFormat="1" ht="12">
      <c r="A13" s="684" t="s">
        <v>1398</v>
      </c>
      <c r="B13" s="685"/>
      <c r="C13" s="592"/>
      <c r="D13" s="606">
        <f>SUM(D15+D27+D41)</f>
        <v>284900000</v>
      </c>
      <c r="E13" s="138"/>
    </row>
    <row r="14" spans="1:5" s="77" customFormat="1" ht="12">
      <c r="A14" s="684"/>
      <c r="B14" s="590">
        <v>4210</v>
      </c>
      <c r="C14" s="596"/>
      <c r="D14" s="607"/>
      <c r="E14" s="147"/>
    </row>
    <row r="15" spans="1:5" s="77" customFormat="1" ht="12">
      <c r="A15" s="684"/>
      <c r="B15" s="684" t="s">
        <v>1399</v>
      </c>
      <c r="C15" s="592"/>
      <c r="D15" s="606">
        <f>SUM(D17:D25)</f>
        <v>131532000</v>
      </c>
      <c r="E15" s="139"/>
    </row>
    <row r="16" spans="1:5" s="77" customFormat="1" ht="12">
      <c r="A16" s="360"/>
      <c r="B16" s="591"/>
      <c r="C16" s="594">
        <v>4211</v>
      </c>
      <c r="D16" s="615"/>
      <c r="E16" s="147"/>
    </row>
    <row r="17" spans="1:5" s="77" customFormat="1" ht="12">
      <c r="A17" s="591"/>
      <c r="B17" s="591"/>
      <c r="C17" s="592" t="s">
        <v>1400</v>
      </c>
      <c r="D17" s="606">
        <v>18000000</v>
      </c>
      <c r="E17" s="138" t="s">
        <v>1428</v>
      </c>
    </row>
    <row r="18" spans="1:5" s="77" customFormat="1" ht="12">
      <c r="A18" s="360"/>
      <c r="B18" s="591"/>
      <c r="C18" s="594">
        <v>4212</v>
      </c>
      <c r="D18" s="615"/>
      <c r="E18" s="147"/>
    </row>
    <row r="19" spans="1:5" s="77" customFormat="1" ht="12">
      <c r="A19" s="591"/>
      <c r="B19" s="591"/>
      <c r="C19" s="592" t="s">
        <v>1401</v>
      </c>
      <c r="D19" s="606">
        <v>500000</v>
      </c>
      <c r="E19" s="138" t="s">
        <v>1429</v>
      </c>
    </row>
    <row r="20" spans="1:5" s="77" customFormat="1" ht="12">
      <c r="A20" s="591"/>
      <c r="B20" s="591"/>
      <c r="C20" s="594">
        <v>4213</v>
      </c>
      <c r="D20" s="607"/>
      <c r="E20" s="147"/>
    </row>
    <row r="21" spans="1:5" s="77" customFormat="1" ht="12">
      <c r="A21" s="591"/>
      <c r="B21" s="591"/>
      <c r="C21" s="592" t="s">
        <v>1402</v>
      </c>
      <c r="D21" s="607">
        <v>0</v>
      </c>
      <c r="E21" s="138"/>
    </row>
    <row r="22" spans="1:5" s="77" customFormat="1" ht="12">
      <c r="A22" s="360"/>
      <c r="B22" s="591"/>
      <c r="C22" s="594">
        <v>4215</v>
      </c>
      <c r="D22" s="615"/>
      <c r="E22" s="147"/>
    </row>
    <row r="23" spans="1:5" s="77" customFormat="1" ht="12">
      <c r="A23" s="591"/>
      <c r="B23" s="591"/>
      <c r="C23" s="592" t="s">
        <v>1403</v>
      </c>
      <c r="D23" s="606">
        <v>112152000</v>
      </c>
      <c r="E23" s="138" t="s">
        <v>1430</v>
      </c>
    </row>
    <row r="24" spans="1:5" s="77" customFormat="1" ht="12">
      <c r="A24" s="360"/>
      <c r="B24" s="360"/>
      <c r="C24" s="594">
        <v>4216</v>
      </c>
      <c r="D24" s="615"/>
      <c r="E24" s="147"/>
    </row>
    <row r="25" spans="1:5" s="77" customFormat="1" ht="12">
      <c r="A25" s="591"/>
      <c r="B25" s="692"/>
      <c r="C25" s="592" t="s">
        <v>1404</v>
      </c>
      <c r="D25" s="606">
        <v>880000</v>
      </c>
      <c r="E25" s="138"/>
    </row>
    <row r="26" spans="1:5" s="77" customFormat="1" ht="12">
      <c r="A26" s="360"/>
      <c r="B26" s="590">
        <v>4220</v>
      </c>
      <c r="C26" s="593"/>
      <c r="D26" s="608"/>
      <c r="E26" s="147"/>
    </row>
    <row r="27" spans="1:5" s="77" customFormat="1" ht="12">
      <c r="A27" s="591"/>
      <c r="B27" s="684" t="s">
        <v>1405</v>
      </c>
      <c r="C27" s="592"/>
      <c r="D27" s="606">
        <f>SUM(D29:D39)</f>
        <v>146368000</v>
      </c>
      <c r="E27" s="139"/>
    </row>
    <row r="28" spans="1:5" s="77" customFormat="1" ht="12">
      <c r="A28" s="360"/>
      <c r="B28" s="360"/>
      <c r="C28" s="594">
        <v>4221</v>
      </c>
      <c r="D28" s="615"/>
      <c r="E28" s="138"/>
    </row>
    <row r="29" spans="1:5" s="77" customFormat="1" ht="12">
      <c r="A29" s="591"/>
      <c r="B29" s="591"/>
      <c r="C29" s="592" t="s">
        <v>1406</v>
      </c>
      <c r="D29" s="606">
        <v>2000000</v>
      </c>
      <c r="E29" s="138" t="s">
        <v>1431</v>
      </c>
    </row>
    <row r="30" spans="1:5" s="77" customFormat="1" ht="12">
      <c r="A30" s="360"/>
      <c r="B30" s="360"/>
      <c r="C30" s="594">
        <v>4223</v>
      </c>
      <c r="D30" s="615"/>
      <c r="E30" s="147"/>
    </row>
    <row r="31" spans="1:5" s="77" customFormat="1" ht="12">
      <c r="A31" s="591"/>
      <c r="B31" s="591"/>
      <c r="C31" s="592" t="s">
        <v>1407</v>
      </c>
      <c r="D31" s="606">
        <v>25000000</v>
      </c>
      <c r="E31" s="138" t="s">
        <v>1432</v>
      </c>
    </row>
    <row r="32" spans="1:5" s="77" customFormat="1" ht="12">
      <c r="A32" s="360"/>
      <c r="B32" s="360"/>
      <c r="C32" s="594">
        <v>4225</v>
      </c>
      <c r="D32" s="615"/>
      <c r="E32" s="147"/>
    </row>
    <row r="33" spans="1:5" s="77" customFormat="1" ht="12">
      <c r="A33" s="591"/>
      <c r="B33" s="591"/>
      <c r="C33" s="592" t="s">
        <v>1408</v>
      </c>
      <c r="D33" s="606">
        <v>48000000</v>
      </c>
      <c r="E33" s="138" t="s">
        <v>1433</v>
      </c>
    </row>
    <row r="34" spans="1:5" s="77" customFormat="1" ht="12">
      <c r="A34" s="375"/>
      <c r="B34" s="375"/>
      <c r="C34" s="357">
        <v>4226</v>
      </c>
      <c r="D34" s="619"/>
      <c r="E34" s="518"/>
    </row>
    <row r="35" spans="1:5" s="77" customFormat="1" ht="12">
      <c r="A35" s="601"/>
      <c r="B35" s="601"/>
      <c r="C35" s="592" t="s">
        <v>1409</v>
      </c>
      <c r="D35" s="606">
        <v>47219000</v>
      </c>
      <c r="E35" s="139"/>
    </row>
    <row r="36" spans="1:5" s="77" customFormat="1" ht="12">
      <c r="A36" s="360"/>
      <c r="B36" s="360"/>
      <c r="C36" s="594">
        <v>4227</v>
      </c>
      <c r="D36" s="615"/>
      <c r="E36" s="147"/>
    </row>
    <row r="37" spans="1:5" s="77" customFormat="1" ht="12">
      <c r="A37" s="591"/>
      <c r="B37" s="591"/>
      <c r="C37" s="592" t="s">
        <v>1410</v>
      </c>
      <c r="D37" s="606">
        <v>23400000</v>
      </c>
      <c r="E37" s="139" t="s">
        <v>1434</v>
      </c>
    </row>
    <row r="38" spans="1:5" s="77" customFormat="1" ht="12">
      <c r="A38" s="360"/>
      <c r="B38" s="360"/>
      <c r="C38" s="594">
        <v>4228</v>
      </c>
      <c r="D38" s="615"/>
      <c r="E38" s="147"/>
    </row>
    <row r="39" spans="1:5" s="77" customFormat="1" ht="12">
      <c r="A39" s="591"/>
      <c r="B39" s="591"/>
      <c r="C39" s="592" t="s">
        <v>1411</v>
      </c>
      <c r="D39" s="606">
        <v>749000</v>
      </c>
      <c r="E39" s="139" t="s">
        <v>1435</v>
      </c>
    </row>
    <row r="40" spans="1:5" s="77" customFormat="1" ht="12">
      <c r="A40" s="360"/>
      <c r="B40" s="590">
        <v>4230</v>
      </c>
      <c r="C40" s="593"/>
      <c r="D40" s="608"/>
      <c r="E40" s="138"/>
    </row>
    <row r="41" spans="1:5" s="77" customFormat="1" ht="12">
      <c r="A41" s="591"/>
      <c r="B41" s="684" t="s">
        <v>1412</v>
      </c>
      <c r="C41" s="592"/>
      <c r="D41" s="606">
        <f>SUM(D43:D43)</f>
        <v>7000000</v>
      </c>
      <c r="E41" s="139"/>
    </row>
    <row r="42" spans="1:5" s="77" customFormat="1" ht="12">
      <c r="A42" s="360"/>
      <c r="B42" s="591"/>
      <c r="C42" s="594">
        <v>4231</v>
      </c>
      <c r="D42" s="615"/>
      <c r="E42" s="149"/>
    </row>
    <row r="43" spans="1:5" s="77" customFormat="1" ht="12">
      <c r="A43" s="591"/>
      <c r="B43" s="591"/>
      <c r="C43" s="592" t="s">
        <v>1413</v>
      </c>
      <c r="D43" s="606">
        <v>7000000</v>
      </c>
      <c r="E43" s="138"/>
    </row>
    <row r="44" spans="1:5" s="77" customFormat="1" ht="12">
      <c r="A44" s="590">
        <v>4300</v>
      </c>
      <c r="B44" s="590"/>
      <c r="C44" s="594"/>
      <c r="D44" s="615"/>
      <c r="E44" s="147"/>
    </row>
    <row r="45" spans="1:5" s="77" customFormat="1" ht="12">
      <c r="A45" s="684" t="s">
        <v>1414</v>
      </c>
      <c r="B45" s="685"/>
      <c r="C45" s="592"/>
      <c r="D45" s="606">
        <f>D47</f>
        <v>17260000</v>
      </c>
      <c r="E45" s="139"/>
    </row>
    <row r="46" spans="1:5" s="77" customFormat="1" ht="12">
      <c r="A46" s="591"/>
      <c r="B46" s="590">
        <v>4320</v>
      </c>
      <c r="C46" s="594"/>
      <c r="D46" s="615"/>
      <c r="E46" s="138"/>
    </row>
    <row r="47" spans="1:5" s="77" customFormat="1" ht="12">
      <c r="A47" s="591"/>
      <c r="B47" s="684" t="s">
        <v>1415</v>
      </c>
      <c r="C47" s="592"/>
      <c r="D47" s="606">
        <f>D49</f>
        <v>17260000</v>
      </c>
      <c r="E47" s="138"/>
    </row>
    <row r="48" spans="1:5" s="77" customFormat="1" ht="12">
      <c r="A48" s="591"/>
      <c r="B48" s="591"/>
      <c r="C48" s="594">
        <v>4325</v>
      </c>
      <c r="D48" s="615"/>
      <c r="E48" s="147"/>
    </row>
    <row r="49" spans="1:5" s="77" customFormat="1" ht="12">
      <c r="A49" s="591"/>
      <c r="B49" s="591"/>
      <c r="C49" s="596" t="s">
        <v>1416</v>
      </c>
      <c r="D49" s="607">
        <f>SUM(D50:D51)</f>
        <v>17260000</v>
      </c>
      <c r="E49" s="138"/>
    </row>
    <row r="50" spans="1:5" s="77" customFormat="1" ht="12">
      <c r="A50" s="591"/>
      <c r="B50" s="591"/>
      <c r="C50" s="596"/>
      <c r="D50" s="607">
        <v>5000000</v>
      </c>
      <c r="E50" s="138" t="s">
        <v>1426</v>
      </c>
    </row>
    <row r="51" spans="1:5" s="77" customFormat="1" ht="12">
      <c r="A51" s="591"/>
      <c r="B51" s="591"/>
      <c r="C51" s="596"/>
      <c r="D51" s="607">
        <v>12260000</v>
      </c>
      <c r="E51" s="138" t="s">
        <v>1436</v>
      </c>
    </row>
    <row r="52" spans="1:5" s="77" customFormat="1" ht="12">
      <c r="A52" s="590">
        <v>4600</v>
      </c>
      <c r="B52" s="590"/>
      <c r="C52" s="594"/>
      <c r="D52" s="620"/>
      <c r="E52" s="147"/>
    </row>
    <row r="53" spans="1:5" s="77" customFormat="1" ht="12">
      <c r="A53" s="684" t="s">
        <v>1418</v>
      </c>
      <c r="B53" s="685"/>
      <c r="C53" s="592"/>
      <c r="D53" s="614">
        <f>D55</f>
        <v>127617961</v>
      </c>
      <c r="E53" s="138"/>
    </row>
    <row r="54" spans="1:5" s="77" customFormat="1" ht="12">
      <c r="A54" s="591"/>
      <c r="B54" s="590">
        <v>4610</v>
      </c>
      <c r="C54" s="594"/>
      <c r="D54" s="620"/>
      <c r="E54" s="148"/>
    </row>
    <row r="55" spans="1:5" s="77" customFormat="1" ht="12">
      <c r="A55" s="591"/>
      <c r="B55" s="684" t="s">
        <v>1385</v>
      </c>
      <c r="C55" s="592"/>
      <c r="D55" s="614">
        <f>D57</f>
        <v>127617961</v>
      </c>
      <c r="E55" s="138"/>
    </row>
    <row r="56" spans="1:5" s="77" customFormat="1" ht="12">
      <c r="A56" s="591"/>
      <c r="B56" s="591"/>
      <c r="C56" s="593">
        <v>4611</v>
      </c>
      <c r="D56" s="618"/>
      <c r="E56" s="147"/>
    </row>
    <row r="57" spans="1:5" s="77" customFormat="1" ht="12">
      <c r="A57" s="591"/>
      <c r="B57" s="591"/>
      <c r="C57" s="596" t="s">
        <v>1418</v>
      </c>
      <c r="D57" s="618">
        <v>127617961</v>
      </c>
      <c r="E57" s="138"/>
    </row>
    <row r="58" spans="1:5" s="77" customFormat="1" ht="12">
      <c r="A58" s="590">
        <v>1300</v>
      </c>
      <c r="B58" s="590"/>
      <c r="C58" s="594"/>
      <c r="D58" s="612"/>
      <c r="E58" s="147"/>
    </row>
    <row r="59" spans="1:5" s="77" customFormat="1" ht="12">
      <c r="A59" s="684" t="s">
        <v>1419</v>
      </c>
      <c r="B59" s="685"/>
      <c r="C59" s="592"/>
      <c r="D59" s="606">
        <f>SUM(D61)</f>
        <v>70000000</v>
      </c>
      <c r="E59" s="149"/>
    </row>
    <row r="60" spans="1:5" s="77" customFormat="1" ht="12">
      <c r="A60" s="684" t="s">
        <v>1420</v>
      </c>
      <c r="B60" s="360">
        <v>1310</v>
      </c>
      <c r="C60" s="594"/>
      <c r="D60" s="615"/>
      <c r="E60" s="147"/>
    </row>
    <row r="61" spans="1:5" s="77" customFormat="1" ht="12">
      <c r="A61" s="684"/>
      <c r="B61" s="684" t="s">
        <v>1421</v>
      </c>
      <c r="C61" s="592"/>
      <c r="D61" s="606">
        <f>SUM(D62:D65)</f>
        <v>70000000</v>
      </c>
      <c r="E61" s="138"/>
    </row>
    <row r="62" spans="1:5" s="77" customFormat="1" ht="12">
      <c r="A62" s="360"/>
      <c r="B62" s="684" t="s">
        <v>1420</v>
      </c>
      <c r="C62" s="594">
        <v>1314</v>
      </c>
      <c r="D62" s="615"/>
      <c r="E62" s="148"/>
    </row>
    <row r="63" spans="1:5" s="77" customFormat="1" ht="12">
      <c r="A63" s="591"/>
      <c r="B63" s="591"/>
      <c r="C63" s="592" t="s">
        <v>1422</v>
      </c>
      <c r="D63" s="606">
        <v>40000000</v>
      </c>
      <c r="E63" s="138" t="s">
        <v>1437</v>
      </c>
    </row>
    <row r="64" spans="1:5" s="77" customFormat="1" ht="12">
      <c r="A64" s="360"/>
      <c r="B64" s="360"/>
      <c r="C64" s="594">
        <v>1315</v>
      </c>
      <c r="D64" s="615"/>
      <c r="E64" s="147"/>
    </row>
    <row r="65" spans="1:5" s="77" customFormat="1" ht="12">
      <c r="A65" s="591"/>
      <c r="B65" s="591"/>
      <c r="C65" s="592" t="s">
        <v>1423</v>
      </c>
      <c r="D65" s="606">
        <v>30000000</v>
      </c>
      <c r="E65" s="149" t="s">
        <v>1438</v>
      </c>
    </row>
    <row r="66" spans="1:5" s="77" customFormat="1" ht="20.25" customHeight="1">
      <c r="A66" s="1076" t="s">
        <v>1424</v>
      </c>
      <c r="B66" s="1076"/>
      <c r="C66" s="1076"/>
      <c r="D66" s="432">
        <f>D7+D13+D45+D53+D59</f>
        <v>499777961</v>
      </c>
      <c r="E66" s="524"/>
    </row>
  </sheetData>
  <mergeCells count="7">
    <mergeCell ref="A66:C66"/>
    <mergeCell ref="A1:E1"/>
    <mergeCell ref="A2:E2"/>
    <mergeCell ref="A3:E3"/>
    <mergeCell ref="A4:C4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&amp;L&amp;9&lt;별지제2호서식&gt;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G12" sqref="G12"/>
    </sheetView>
  </sheetViews>
  <sheetFormatPr defaultColWidth="9.00390625" defaultRowHeight="14.25"/>
  <cols>
    <col min="1" max="16384" width="9.00390625" style="3" customWidth="1"/>
  </cols>
  <sheetData>
    <row r="9" ht="49.5" customHeight="1"/>
    <row r="10" spans="1:91" ht="51" customHeight="1">
      <c r="A10" s="990" t="s">
        <v>314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</sheetData>
  <mergeCells count="1">
    <mergeCell ref="A10:M10"/>
  </mergeCell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3">
      <selection activeCell="F19" sqref="F19"/>
    </sheetView>
  </sheetViews>
  <sheetFormatPr defaultColWidth="9.25390625" defaultRowHeight="27" customHeight="1"/>
  <cols>
    <col min="1" max="1" width="13.625" style="69" customWidth="1"/>
    <col min="2" max="3" width="13.625" style="10" customWidth="1"/>
    <col min="4" max="5" width="16.125" style="10" customWidth="1"/>
    <col min="6" max="6" width="18.375" style="10" customWidth="1"/>
    <col min="7" max="7" width="32.875" style="10" customWidth="1"/>
    <col min="8" max="16384" width="9.25390625" style="10" customWidth="1"/>
  </cols>
  <sheetData>
    <row r="1" spans="1:7" s="9" customFormat="1" ht="34.5" customHeight="1">
      <c r="A1" s="993" t="s">
        <v>950</v>
      </c>
      <c r="B1" s="994"/>
      <c r="C1" s="994"/>
      <c r="D1" s="994"/>
      <c r="E1" s="994"/>
      <c r="F1" s="994"/>
      <c r="G1" s="994"/>
    </row>
    <row r="2" spans="1:7" s="9" customFormat="1" ht="20.25" customHeight="1">
      <c r="A2" s="995" t="s">
        <v>951</v>
      </c>
      <c r="B2" s="995"/>
      <c r="C2" s="995"/>
      <c r="D2" s="995"/>
      <c r="E2" s="995"/>
      <c r="F2" s="995"/>
      <c r="G2" s="995"/>
    </row>
    <row r="3" spans="1:7" ht="36" customHeight="1">
      <c r="A3" s="996" t="s">
        <v>952</v>
      </c>
      <c r="B3" s="997"/>
      <c r="C3" s="997"/>
      <c r="D3" s="997"/>
      <c r="E3" s="997"/>
      <c r="F3" s="997"/>
      <c r="G3" s="998"/>
    </row>
    <row r="4" spans="1:7" s="1" customFormat="1" ht="17.25" customHeight="1">
      <c r="A4" s="992" t="s">
        <v>953</v>
      </c>
      <c r="B4" s="992"/>
      <c r="C4" s="992"/>
      <c r="D4" s="572" t="s">
        <v>1012</v>
      </c>
      <c r="E4" s="572" t="s">
        <v>1012</v>
      </c>
      <c r="F4" s="572" t="s">
        <v>1013</v>
      </c>
      <c r="G4" s="992" t="s">
        <v>954</v>
      </c>
    </row>
    <row r="5" spans="1:7" s="2" customFormat="1" ht="18" customHeight="1">
      <c r="A5" s="527" t="s">
        <v>955</v>
      </c>
      <c r="B5" s="527" t="s">
        <v>956</v>
      </c>
      <c r="C5" s="527" t="s">
        <v>957</v>
      </c>
      <c r="D5" s="623" t="s">
        <v>1014</v>
      </c>
      <c r="E5" s="623" t="s">
        <v>1015</v>
      </c>
      <c r="F5" s="623" t="s">
        <v>947</v>
      </c>
      <c r="G5" s="992"/>
    </row>
    <row r="6" spans="1:7" s="15" customFormat="1" ht="14.25" customHeight="1">
      <c r="A6" s="26">
        <v>5200</v>
      </c>
      <c r="B6" s="130"/>
      <c r="C6" s="158"/>
      <c r="D6" s="17"/>
      <c r="E6" s="17"/>
      <c r="F6" s="17"/>
      <c r="G6" s="27"/>
    </row>
    <row r="7" spans="1:7" s="15" customFormat="1" ht="27.75" customHeight="1">
      <c r="A7" s="529" t="s">
        <v>958</v>
      </c>
      <c r="B7" s="452"/>
      <c r="C7" s="157"/>
      <c r="D7" s="14">
        <f>D9</f>
        <v>762000000</v>
      </c>
      <c r="E7" s="14">
        <f>E9</f>
        <v>832000000</v>
      </c>
      <c r="F7" s="14">
        <f aca="true" t="shared" si="0" ref="F7">D7-E7</f>
        <v>-70000000</v>
      </c>
      <c r="G7" s="539" t="s">
        <v>959</v>
      </c>
    </row>
    <row r="8" spans="1:7" s="6" customFormat="1" ht="13.5" customHeight="1">
      <c r="A8" s="29"/>
      <c r="B8" s="16" t="s">
        <v>960</v>
      </c>
      <c r="C8" s="12"/>
      <c r="D8" s="13"/>
      <c r="E8" s="13"/>
      <c r="F8" s="13"/>
      <c r="G8" s="13"/>
    </row>
    <row r="9" spans="1:9" s="15" customFormat="1" ht="27" customHeight="1">
      <c r="A9" s="33"/>
      <c r="B9" s="529" t="s">
        <v>961</v>
      </c>
      <c r="C9" s="32"/>
      <c r="D9" s="19">
        <f>D11+D13</f>
        <v>762000000</v>
      </c>
      <c r="E9" s="19">
        <f>E13+E11</f>
        <v>832000000</v>
      </c>
      <c r="F9" s="19">
        <f>D9-E9</f>
        <v>-70000000</v>
      </c>
      <c r="G9" s="19"/>
      <c r="I9" s="28"/>
    </row>
    <row r="10" spans="1:9" s="15" customFormat="1" ht="13.5" customHeight="1">
      <c r="A10" s="33"/>
      <c r="B10" s="34"/>
      <c r="C10" s="35">
        <v>5221</v>
      </c>
      <c r="D10" s="36"/>
      <c r="E10" s="36"/>
      <c r="F10" s="36"/>
      <c r="G10" s="36"/>
      <c r="I10" s="28"/>
    </row>
    <row r="11" spans="1:9" s="15" customFormat="1" ht="27" customHeight="1">
      <c r="A11" s="33"/>
      <c r="B11" s="34"/>
      <c r="C11" s="32" t="s">
        <v>962</v>
      </c>
      <c r="D11" s="19">
        <v>0</v>
      </c>
      <c r="E11" s="19">
        <v>0</v>
      </c>
      <c r="F11" s="19">
        <f aca="true" t="shared" si="1" ref="F11:F48">D11-E11</f>
        <v>0</v>
      </c>
      <c r="G11" s="19"/>
      <c r="I11" s="28"/>
    </row>
    <row r="12" spans="1:9" s="15" customFormat="1" ht="13.5" customHeight="1">
      <c r="A12" s="33"/>
      <c r="B12" s="34"/>
      <c r="C12" s="37">
        <v>5222</v>
      </c>
      <c r="D12" s="38"/>
      <c r="E12" s="38"/>
      <c r="F12" s="38"/>
      <c r="G12" s="38"/>
      <c r="I12" s="28"/>
    </row>
    <row r="13" spans="1:9" s="15" customFormat="1" ht="27" customHeight="1">
      <c r="A13" s="33"/>
      <c r="B13" s="31"/>
      <c r="C13" s="32" t="s">
        <v>963</v>
      </c>
      <c r="D13" s="19">
        <v>762000000</v>
      </c>
      <c r="E13" s="19">
        <v>832000000</v>
      </c>
      <c r="F13" s="19">
        <f t="shared" si="1"/>
        <v>-70000000</v>
      </c>
      <c r="G13" s="19"/>
      <c r="I13" s="28"/>
    </row>
    <row r="14" spans="1:7" s="122" customFormat="1" ht="14.25" customHeight="1">
      <c r="A14" s="26">
        <v>5400</v>
      </c>
      <c r="B14" s="54"/>
      <c r="C14" s="55"/>
      <c r="D14" s="41"/>
      <c r="E14" s="18"/>
      <c r="F14" s="18"/>
      <c r="G14" s="18"/>
    </row>
    <row r="15" spans="1:7" s="15" customFormat="1" ht="25.5" customHeight="1">
      <c r="A15" s="526" t="s">
        <v>964</v>
      </c>
      <c r="B15" s="204"/>
      <c r="C15" s="32"/>
      <c r="D15" s="19">
        <f>D17+D21</f>
        <v>2482000000</v>
      </c>
      <c r="E15" s="19">
        <f>E17+E21</f>
        <v>2393015000</v>
      </c>
      <c r="F15" s="19">
        <f t="shared" si="1"/>
        <v>88985000</v>
      </c>
      <c r="G15" s="19"/>
    </row>
    <row r="16" spans="1:7" s="15" customFormat="1" ht="14.25" customHeight="1">
      <c r="A16" s="33"/>
      <c r="B16" s="26">
        <v>5410</v>
      </c>
      <c r="C16" s="40"/>
      <c r="D16" s="18"/>
      <c r="E16" s="18"/>
      <c r="F16" s="18"/>
      <c r="G16" s="18"/>
    </row>
    <row r="17" spans="1:7" s="15" customFormat="1" ht="25.5" customHeight="1">
      <c r="A17" s="34"/>
      <c r="B17" s="526" t="s">
        <v>965</v>
      </c>
      <c r="C17" s="32"/>
      <c r="D17" s="19">
        <f>D19</f>
        <v>2481500000</v>
      </c>
      <c r="E17" s="19">
        <f>E19</f>
        <v>2392515000</v>
      </c>
      <c r="F17" s="19">
        <f t="shared" si="1"/>
        <v>88985000</v>
      </c>
      <c r="G17" s="19"/>
    </row>
    <row r="18" spans="1:7" s="15" customFormat="1" ht="13.5" customHeight="1">
      <c r="A18" s="34"/>
      <c r="B18" s="33"/>
      <c r="C18" s="37">
        <v>5411</v>
      </c>
      <c r="D18" s="18"/>
      <c r="E18" s="18"/>
      <c r="F18" s="18"/>
      <c r="G18" s="18"/>
    </row>
    <row r="19" spans="1:7" s="15" customFormat="1" ht="25.5" customHeight="1">
      <c r="A19" s="34"/>
      <c r="B19" s="31"/>
      <c r="C19" s="32" t="s">
        <v>966</v>
      </c>
      <c r="D19" s="44">
        <v>2481500000</v>
      </c>
      <c r="E19" s="19">
        <v>2392515000</v>
      </c>
      <c r="F19" s="19">
        <f t="shared" si="1"/>
        <v>88985000</v>
      </c>
      <c r="G19" s="19"/>
    </row>
    <row r="20" spans="1:7" s="15" customFormat="1" ht="12.75" customHeight="1">
      <c r="A20" s="34"/>
      <c r="B20" s="26">
        <v>5420</v>
      </c>
      <c r="C20" s="37"/>
      <c r="D20" s="45"/>
      <c r="E20" s="38"/>
      <c r="F20" s="38"/>
      <c r="G20" s="38"/>
    </row>
    <row r="21" spans="1:7" s="15" customFormat="1" ht="25.5" customHeight="1">
      <c r="A21" s="34"/>
      <c r="B21" s="526" t="s">
        <v>967</v>
      </c>
      <c r="C21" s="32"/>
      <c r="D21" s="19">
        <f>D23</f>
        <v>500000</v>
      </c>
      <c r="E21" s="19">
        <f>E23</f>
        <v>500000</v>
      </c>
      <c r="F21" s="19">
        <f t="shared" si="1"/>
        <v>0</v>
      </c>
      <c r="G21" s="19"/>
    </row>
    <row r="22" spans="1:7" s="15" customFormat="1" ht="14.25" customHeight="1">
      <c r="A22" s="34"/>
      <c r="B22" s="33"/>
      <c r="C22" s="37">
        <v>5421</v>
      </c>
      <c r="D22" s="18"/>
      <c r="E22" s="18"/>
      <c r="F22" s="18"/>
      <c r="G22" s="18"/>
    </row>
    <row r="23" spans="1:7" s="15" customFormat="1" ht="12">
      <c r="A23" s="34"/>
      <c r="B23" s="30"/>
      <c r="C23" s="32" t="s">
        <v>968</v>
      </c>
      <c r="D23" s="44">
        <v>500000</v>
      </c>
      <c r="E23" s="19">
        <v>500000</v>
      </c>
      <c r="F23" s="19">
        <f t="shared" si="1"/>
        <v>0</v>
      </c>
      <c r="G23" s="19"/>
    </row>
    <row r="24" spans="1:7" s="15" customFormat="1" ht="12">
      <c r="A24" s="169">
        <v>1200</v>
      </c>
      <c r="B24" s="528"/>
      <c r="C24" s="541"/>
      <c r="D24" s="205"/>
      <c r="E24" s="57"/>
      <c r="F24" s="57"/>
      <c r="G24" s="542"/>
    </row>
    <row r="25" spans="1:7" s="15" customFormat="1" ht="25.5" customHeight="1">
      <c r="A25" s="526" t="s">
        <v>969</v>
      </c>
      <c r="B25" s="204"/>
      <c r="C25" s="32"/>
      <c r="D25" s="19">
        <f>D27</f>
        <v>2398923000</v>
      </c>
      <c r="E25" s="19">
        <f>E27</f>
        <v>2960226000</v>
      </c>
      <c r="F25" s="19">
        <f t="shared" si="1"/>
        <v>-561303000</v>
      </c>
      <c r="G25" s="19"/>
    </row>
    <row r="26" spans="1:7" s="15" customFormat="1" ht="15" customHeight="1">
      <c r="A26" s="33"/>
      <c r="B26" s="39">
        <v>1260</v>
      </c>
      <c r="C26" s="40"/>
      <c r="D26" s="18"/>
      <c r="E26" s="18"/>
      <c r="F26" s="18"/>
      <c r="G26" s="58"/>
    </row>
    <row r="27" spans="1:7" s="15" customFormat="1" ht="12">
      <c r="A27" s="33"/>
      <c r="B27" s="175" t="s">
        <v>970</v>
      </c>
      <c r="C27" s="32"/>
      <c r="D27" s="44">
        <f>D29+D31</f>
        <v>2398923000</v>
      </c>
      <c r="E27" s="44">
        <f>E31+E29</f>
        <v>2960226000</v>
      </c>
      <c r="F27" s="19">
        <f aca="true" t="shared" si="2" ref="F27">D27-E27</f>
        <v>-561303000</v>
      </c>
      <c r="G27" s="19"/>
    </row>
    <row r="28" spans="1:7" s="59" customFormat="1" ht="15.75" customHeight="1">
      <c r="A28" s="33"/>
      <c r="B28" s="33"/>
      <c r="C28" s="37">
        <v>1263</v>
      </c>
      <c r="D28" s="38"/>
      <c r="E28" s="38"/>
      <c r="F28" s="38"/>
      <c r="G28" s="38"/>
    </row>
    <row r="29" spans="1:7" s="15" customFormat="1" ht="19.5" customHeight="1">
      <c r="A29" s="33"/>
      <c r="B29" s="33"/>
      <c r="C29" s="48" t="s">
        <v>971</v>
      </c>
      <c r="D29" s="19">
        <v>700000000</v>
      </c>
      <c r="E29" s="19">
        <v>0</v>
      </c>
      <c r="F29" s="19">
        <f aca="true" t="shared" si="3" ref="F29">D29-E29</f>
        <v>700000000</v>
      </c>
      <c r="G29" s="19"/>
    </row>
    <row r="30" spans="1:7" s="59" customFormat="1" ht="13.5" customHeight="1">
      <c r="A30" s="33"/>
      <c r="B30" s="33"/>
      <c r="C30" s="37">
        <v>1266</v>
      </c>
      <c r="D30" s="38"/>
      <c r="E30" s="38"/>
      <c r="F30" s="38"/>
      <c r="G30" s="38"/>
    </row>
    <row r="31" spans="1:7" s="15" customFormat="1" ht="27" customHeight="1">
      <c r="A31" s="33"/>
      <c r="B31" s="33"/>
      <c r="C31" s="112" t="s">
        <v>972</v>
      </c>
      <c r="D31" s="36">
        <f>1618923000+80000000</f>
        <v>1698923000</v>
      </c>
      <c r="E31" s="36">
        <v>2960226000</v>
      </c>
      <c r="F31" s="36">
        <f aca="true" t="shared" si="4" ref="F31">D31-E31</f>
        <v>-1261303000</v>
      </c>
      <c r="G31" s="36"/>
    </row>
    <row r="32" spans="1:7" s="15" customFormat="1" ht="15" customHeight="1">
      <c r="A32" s="736">
        <v>1300</v>
      </c>
      <c r="B32" s="210"/>
      <c r="C32" s="748"/>
      <c r="D32" s="769"/>
      <c r="E32" s="769"/>
      <c r="F32" s="769"/>
      <c r="G32" s="769"/>
    </row>
    <row r="33" spans="1:7" s="15" customFormat="1" ht="15" customHeight="1">
      <c r="A33" s="855" t="s">
        <v>1667</v>
      </c>
      <c r="B33" s="62"/>
      <c r="C33" s="753"/>
      <c r="D33" s="772">
        <f>D35</f>
        <v>3637000</v>
      </c>
      <c r="E33" s="772">
        <f>E35</f>
        <v>0</v>
      </c>
      <c r="F33" s="772">
        <f>D33-E33</f>
        <v>3637000</v>
      </c>
      <c r="G33" s="772"/>
    </row>
    <row r="34" spans="1:7" s="15" customFormat="1" ht="15" customHeight="1">
      <c r="A34" s="760"/>
      <c r="B34" s="736">
        <v>1310</v>
      </c>
      <c r="C34" s="748"/>
      <c r="D34" s="769"/>
      <c r="E34" s="769"/>
      <c r="F34" s="769"/>
      <c r="G34" s="769"/>
    </row>
    <row r="35" spans="1:7" s="15" customFormat="1" ht="15" customHeight="1">
      <c r="A35" s="731"/>
      <c r="B35" s="856" t="s">
        <v>1669</v>
      </c>
      <c r="C35" s="753"/>
      <c r="D35" s="772">
        <f>D37</f>
        <v>3637000</v>
      </c>
      <c r="E35" s="772">
        <f>E37</f>
        <v>0</v>
      </c>
      <c r="F35" s="772">
        <f>D35-E35</f>
        <v>3637000</v>
      </c>
      <c r="G35" s="772"/>
    </row>
    <row r="36" spans="1:7" s="15" customFormat="1" ht="15" customHeight="1">
      <c r="A36" s="731"/>
      <c r="B36" s="731"/>
      <c r="C36" s="746">
        <v>1316</v>
      </c>
      <c r="D36" s="769"/>
      <c r="E36" s="769"/>
      <c r="F36" s="769"/>
      <c r="G36" s="769"/>
    </row>
    <row r="37" spans="1:7" s="15" customFormat="1" ht="15" customHeight="1">
      <c r="A37" s="731"/>
      <c r="B37" s="731"/>
      <c r="C37" s="753" t="s">
        <v>1671</v>
      </c>
      <c r="D37" s="772">
        <v>3637000</v>
      </c>
      <c r="E37" s="772">
        <v>0</v>
      </c>
      <c r="F37" s="911">
        <f>D37-E37</f>
        <v>3637000</v>
      </c>
      <c r="G37" s="772"/>
    </row>
    <row r="38" spans="1:7" s="15" customFormat="1" ht="15" customHeight="1">
      <c r="A38" s="876">
        <v>2200</v>
      </c>
      <c r="B38" s="210"/>
      <c r="C38" s="888"/>
      <c r="D38" s="910"/>
      <c r="E38" s="910"/>
      <c r="F38" s="915"/>
      <c r="G38" s="910"/>
    </row>
    <row r="39" spans="1:7" s="15" customFormat="1" ht="15" customHeight="1">
      <c r="A39" s="870" t="s">
        <v>1756</v>
      </c>
      <c r="B39" s="870"/>
      <c r="C39" s="753"/>
      <c r="D39" s="915">
        <f>D41</f>
        <v>4432788000</v>
      </c>
      <c r="E39" s="915">
        <f>E41</f>
        <v>0</v>
      </c>
      <c r="F39" s="911">
        <f aca="true" t="shared" si="5" ref="F39:F41">D39-E39</f>
        <v>4432788000</v>
      </c>
      <c r="G39" s="915"/>
    </row>
    <row r="40" spans="1:7" s="15" customFormat="1" ht="15" customHeight="1">
      <c r="A40" s="870"/>
      <c r="B40" s="876">
        <v>2210</v>
      </c>
      <c r="C40" s="888"/>
      <c r="D40" s="910"/>
      <c r="E40" s="910"/>
      <c r="F40" s="915"/>
      <c r="G40" s="910"/>
    </row>
    <row r="41" spans="1:7" s="15" customFormat="1" ht="15" customHeight="1">
      <c r="A41" s="870"/>
      <c r="B41" s="870" t="s">
        <v>1757</v>
      </c>
      <c r="C41" s="753"/>
      <c r="D41" s="915">
        <f>D43</f>
        <v>4432788000</v>
      </c>
      <c r="E41" s="915">
        <f>E43</f>
        <v>0</v>
      </c>
      <c r="F41" s="911">
        <f t="shared" si="5"/>
        <v>4432788000</v>
      </c>
      <c r="G41" s="915"/>
    </row>
    <row r="42" spans="1:7" s="15" customFormat="1" ht="15" customHeight="1">
      <c r="A42" s="870"/>
      <c r="B42" s="870"/>
      <c r="C42" s="746">
        <v>2211</v>
      </c>
      <c r="D42" s="910"/>
      <c r="E42" s="910"/>
      <c r="F42" s="915"/>
      <c r="G42" s="910"/>
    </row>
    <row r="43" spans="1:7" s="15" customFormat="1" ht="15" customHeight="1">
      <c r="A43" s="870"/>
      <c r="B43" s="870"/>
      <c r="C43" s="753" t="s">
        <v>1758</v>
      </c>
      <c r="D43" s="915">
        <v>4432788000</v>
      </c>
      <c r="E43" s="915">
        <v>0</v>
      </c>
      <c r="F43" s="915"/>
      <c r="G43" s="915"/>
    </row>
    <row r="44" spans="1:7" s="15" customFormat="1" ht="27" customHeight="1">
      <c r="A44" s="60" t="s">
        <v>973</v>
      </c>
      <c r="B44" s="63"/>
      <c r="C44" s="64"/>
      <c r="D44" s="65">
        <f>D46</f>
        <v>1060771000</v>
      </c>
      <c r="E44" s="65">
        <f>E46</f>
        <v>221883000</v>
      </c>
      <c r="F44" s="57">
        <f t="shared" si="1"/>
        <v>838888000</v>
      </c>
      <c r="G44" s="65"/>
    </row>
    <row r="45" spans="1:7" s="122" customFormat="1" ht="14.25" customHeight="1">
      <c r="A45" s="33"/>
      <c r="B45" s="39">
        <v>1100</v>
      </c>
      <c r="C45" s="66"/>
      <c r="D45" s="67"/>
      <c r="E45" s="67"/>
      <c r="F45" s="18"/>
      <c r="G45" s="67"/>
    </row>
    <row r="46" spans="1:7" s="15" customFormat="1" ht="21" customHeight="1">
      <c r="A46" s="33"/>
      <c r="B46" s="526" t="s">
        <v>974</v>
      </c>
      <c r="C46" s="68"/>
      <c r="D46" s="19">
        <f>D48</f>
        <v>1060771000</v>
      </c>
      <c r="E46" s="19">
        <f>E48</f>
        <v>221883000</v>
      </c>
      <c r="F46" s="19">
        <f t="shared" si="1"/>
        <v>838888000</v>
      </c>
      <c r="G46" s="19"/>
    </row>
    <row r="47" spans="1:7" s="15" customFormat="1" ht="15.75" customHeight="1">
      <c r="A47" s="33"/>
      <c r="B47" s="33"/>
      <c r="C47" s="35">
        <v>1100</v>
      </c>
      <c r="D47" s="36"/>
      <c r="E47" s="36"/>
      <c r="F47" s="36"/>
      <c r="G47" s="36"/>
    </row>
    <row r="48" spans="1:7" s="15" customFormat="1" ht="27" customHeight="1">
      <c r="A48" s="33"/>
      <c r="B48" s="30"/>
      <c r="C48" s="32" t="s">
        <v>974</v>
      </c>
      <c r="D48" s="19">
        <v>1060771000</v>
      </c>
      <c r="E48" s="19">
        <v>221883000</v>
      </c>
      <c r="F48" s="19">
        <f t="shared" si="1"/>
        <v>838888000</v>
      </c>
      <c r="G48" s="19"/>
    </row>
    <row r="49" spans="1:7" s="15" customFormat="1" ht="27" customHeight="1">
      <c r="A49" s="991" t="s">
        <v>975</v>
      </c>
      <c r="B49" s="991"/>
      <c r="C49" s="991"/>
      <c r="D49" s="176">
        <f>D7+D15+D25+D44+D39+D33</f>
        <v>11140119000</v>
      </c>
      <c r="E49" s="176">
        <f>E7+E15+E25+E44</f>
        <v>6407124000</v>
      </c>
      <c r="F49" s="176">
        <f>D49-E49</f>
        <v>4732995000</v>
      </c>
      <c r="G49" s="177"/>
    </row>
  </sheetData>
  <mergeCells count="6">
    <mergeCell ref="A49:C49"/>
    <mergeCell ref="G4:G5"/>
    <mergeCell ref="A4:C4"/>
    <mergeCell ref="A1:G1"/>
    <mergeCell ref="A2:G2"/>
    <mergeCell ref="A3:G3"/>
  </mergeCells>
  <printOptions/>
  <pageMargins left="0.4724409448818898" right="0.4330708661417323" top="0.5905511811023623" bottom="0.6299212598425197" header="0.31496062992125984" footer="0.31496062992125984"/>
  <pageSetup horizontalDpi="600" verticalDpi="600" orientation="landscape" paperSize="9" r:id="rId2"/>
  <headerFooter alignWithMargins="0">
    <oddHeader>&amp;L&amp;"새굴림,보통"&amp;9&lt;별지제2호서식&gt;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view="pageLayout" workbookViewId="0" topLeftCell="A1">
      <selection activeCell="F20" sqref="F20"/>
    </sheetView>
  </sheetViews>
  <sheetFormatPr defaultColWidth="9.00390625" defaultRowHeight="14.25"/>
  <cols>
    <col min="1" max="16384" width="9.00390625" style="70" customWidth="1"/>
  </cols>
  <sheetData>
    <row r="9" ht="49.5" customHeight="1"/>
    <row r="10" spans="1:91" ht="51" customHeight="1">
      <c r="A10" s="990" t="s">
        <v>315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</sheetData>
  <mergeCells count="1">
    <mergeCell ref="A10:M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7"/>
  <sheetViews>
    <sheetView workbookViewId="0" topLeftCell="A37">
      <selection activeCell="F55" sqref="F55"/>
    </sheetView>
  </sheetViews>
  <sheetFormatPr defaultColWidth="9.00390625" defaultRowHeight="14.25"/>
  <cols>
    <col min="1" max="2" width="13.625" style="69" customWidth="1"/>
    <col min="3" max="3" width="13.625" style="9" customWidth="1"/>
    <col min="4" max="5" width="16.125" style="9" customWidth="1"/>
    <col min="6" max="6" width="18.00390625" style="9" customWidth="1"/>
    <col min="7" max="7" width="33.25390625" style="9" customWidth="1"/>
    <col min="8" max="16384" width="9.00390625" style="9" customWidth="1"/>
  </cols>
  <sheetData>
    <row r="1" spans="1:7" ht="34.5" customHeight="1">
      <c r="A1" s="993" t="s">
        <v>396</v>
      </c>
      <c r="B1" s="994"/>
      <c r="C1" s="994"/>
      <c r="D1" s="994"/>
      <c r="E1" s="994"/>
      <c r="F1" s="994"/>
      <c r="G1" s="994"/>
    </row>
    <row r="2" spans="1:7" ht="24.75" customHeight="1">
      <c r="A2" s="995" t="s">
        <v>976</v>
      </c>
      <c r="B2" s="995"/>
      <c r="C2" s="995"/>
      <c r="D2" s="995"/>
      <c r="E2" s="995"/>
      <c r="F2" s="995"/>
      <c r="G2" s="995"/>
    </row>
    <row r="3" spans="1:7" s="72" customFormat="1" ht="39.75" customHeight="1">
      <c r="A3" s="996" t="s">
        <v>10</v>
      </c>
      <c r="B3" s="997"/>
      <c r="C3" s="997"/>
      <c r="D3" s="997"/>
      <c r="E3" s="997"/>
      <c r="F3" s="997"/>
      <c r="G3" s="998"/>
    </row>
    <row r="4" spans="1:7" s="73" customFormat="1" ht="18" customHeight="1">
      <c r="A4" s="999" t="s">
        <v>4</v>
      </c>
      <c r="B4" s="1000"/>
      <c r="C4" s="1001"/>
      <c r="D4" s="572" t="s">
        <v>1012</v>
      </c>
      <c r="E4" s="572" t="s">
        <v>1012</v>
      </c>
      <c r="F4" s="572" t="s">
        <v>1013</v>
      </c>
      <c r="G4" s="992" t="s">
        <v>5</v>
      </c>
    </row>
    <row r="5" spans="1:7" s="73" customFormat="1" ht="21" customHeight="1">
      <c r="A5" s="527" t="s">
        <v>6</v>
      </c>
      <c r="B5" s="527" t="s">
        <v>7</v>
      </c>
      <c r="C5" s="527" t="s">
        <v>8</v>
      </c>
      <c r="D5" s="623" t="s">
        <v>1014</v>
      </c>
      <c r="E5" s="623" t="s">
        <v>1015</v>
      </c>
      <c r="F5" s="623" t="s">
        <v>947</v>
      </c>
      <c r="G5" s="992"/>
    </row>
    <row r="6" spans="1:7" s="74" customFormat="1" ht="12">
      <c r="A6" s="12">
        <v>4100</v>
      </c>
      <c r="B6" s="13"/>
      <c r="C6" s="13"/>
      <c r="D6" s="13"/>
      <c r="E6" s="13"/>
      <c r="F6" s="13"/>
      <c r="G6" s="13"/>
    </row>
    <row r="7" spans="1:7" s="77" customFormat="1" ht="24" customHeight="1">
      <c r="A7" s="530" t="s">
        <v>94</v>
      </c>
      <c r="B7" s="536"/>
      <c r="C7" s="75"/>
      <c r="D7" s="19">
        <f>D9</f>
        <v>413730000</v>
      </c>
      <c r="E7" s="19">
        <f>E9</f>
        <v>413730000</v>
      </c>
      <c r="F7" s="19">
        <f>D7-E7</f>
        <v>0</v>
      </c>
      <c r="G7" s="76" t="s">
        <v>96</v>
      </c>
    </row>
    <row r="8" spans="1:7" s="82" customFormat="1" ht="11.25" customHeight="1">
      <c r="A8" s="1009"/>
      <c r="B8" s="78">
        <v>4120</v>
      </c>
      <c r="C8" s="40"/>
      <c r="D8" s="18"/>
      <c r="E8" s="18"/>
      <c r="F8" s="18"/>
      <c r="G8" s="21"/>
    </row>
    <row r="9" spans="1:7" s="77" customFormat="1" ht="22.5" customHeight="1">
      <c r="A9" s="1010"/>
      <c r="B9" s="1007" t="s">
        <v>33</v>
      </c>
      <c r="C9" s="32"/>
      <c r="D9" s="19">
        <f>SUM(D11:D21)</f>
        <v>413730000</v>
      </c>
      <c r="E9" s="19">
        <f>SUM(E11:E21)</f>
        <v>413730000</v>
      </c>
      <c r="F9" s="19">
        <f aca="true" t="shared" si="0" ref="F9:F73">D9-E9</f>
        <v>0</v>
      </c>
      <c r="G9" s="20"/>
    </row>
    <row r="10" spans="1:7" s="82" customFormat="1" ht="12.75" customHeight="1">
      <c r="A10" s="1010"/>
      <c r="B10" s="1007"/>
      <c r="C10" s="37">
        <v>4121</v>
      </c>
      <c r="D10" s="18"/>
      <c r="E10" s="18"/>
      <c r="F10" s="18"/>
      <c r="G10" s="21"/>
    </row>
    <row r="11" spans="1:7" s="77" customFormat="1" ht="22.5" customHeight="1">
      <c r="A11" s="1010"/>
      <c r="B11" s="1007"/>
      <c r="C11" s="32" t="s">
        <v>34</v>
      </c>
      <c r="D11" s="19">
        <v>162000000</v>
      </c>
      <c r="E11" s="19">
        <v>162000000</v>
      </c>
      <c r="F11" s="19">
        <f t="shared" si="0"/>
        <v>0</v>
      </c>
      <c r="G11" s="20"/>
    </row>
    <row r="12" spans="1:7" s="82" customFormat="1" ht="13.5" customHeight="1">
      <c r="A12" s="1010"/>
      <c r="B12" s="1007"/>
      <c r="C12" s="37">
        <v>4122</v>
      </c>
      <c r="D12" s="18"/>
      <c r="E12" s="18"/>
      <c r="F12" s="18"/>
      <c r="G12" s="21"/>
    </row>
    <row r="13" spans="1:7" s="77" customFormat="1" ht="24.75" customHeight="1">
      <c r="A13" s="1010"/>
      <c r="B13" s="1007"/>
      <c r="C13" s="32" t="s">
        <v>35</v>
      </c>
      <c r="D13" s="19">
        <v>85000000</v>
      </c>
      <c r="E13" s="19">
        <v>85000000</v>
      </c>
      <c r="F13" s="19">
        <f t="shared" si="0"/>
        <v>0</v>
      </c>
      <c r="G13" s="20"/>
    </row>
    <row r="14" spans="1:7" s="82" customFormat="1" ht="12">
      <c r="A14" s="1010"/>
      <c r="B14" s="1007"/>
      <c r="C14" s="37">
        <v>4123</v>
      </c>
      <c r="D14" s="18"/>
      <c r="E14" s="18"/>
      <c r="F14" s="18"/>
      <c r="G14" s="21"/>
    </row>
    <row r="15" spans="1:7" s="77" customFormat="1" ht="24.75" customHeight="1">
      <c r="A15" s="1010"/>
      <c r="B15" s="1007"/>
      <c r="C15" s="32" t="s">
        <v>36</v>
      </c>
      <c r="D15" s="19">
        <v>45000000</v>
      </c>
      <c r="E15" s="19">
        <v>45000000</v>
      </c>
      <c r="F15" s="19">
        <f t="shared" si="0"/>
        <v>0</v>
      </c>
      <c r="G15" s="20"/>
    </row>
    <row r="16" spans="1:7" s="82" customFormat="1" ht="12">
      <c r="A16" s="1010"/>
      <c r="B16" s="1007"/>
      <c r="C16" s="37">
        <v>4124</v>
      </c>
      <c r="D16" s="18"/>
      <c r="E16" s="18"/>
      <c r="F16" s="18"/>
      <c r="G16" s="21"/>
    </row>
    <row r="17" spans="1:7" s="77" customFormat="1" ht="24.75" customHeight="1">
      <c r="A17" s="1010"/>
      <c r="B17" s="1007"/>
      <c r="C17" s="32" t="s">
        <v>79</v>
      </c>
      <c r="D17" s="19">
        <v>16500000</v>
      </c>
      <c r="E17" s="19">
        <v>16500000</v>
      </c>
      <c r="F17" s="19">
        <f t="shared" si="0"/>
        <v>0</v>
      </c>
      <c r="G17" s="20"/>
    </row>
    <row r="18" spans="1:7" s="82" customFormat="1" ht="13.5" customHeight="1">
      <c r="A18" s="1010"/>
      <c r="B18" s="1007"/>
      <c r="C18" s="37">
        <v>4125</v>
      </c>
      <c r="D18" s="18"/>
      <c r="E18" s="18"/>
      <c r="F18" s="18"/>
      <c r="G18" s="21"/>
    </row>
    <row r="19" spans="1:7" s="77" customFormat="1" ht="24.75" customHeight="1">
      <c r="A19" s="1010"/>
      <c r="B19" s="1007"/>
      <c r="C19" s="32" t="s">
        <v>37</v>
      </c>
      <c r="D19" s="19">
        <v>50030000</v>
      </c>
      <c r="E19" s="19">
        <v>50030000</v>
      </c>
      <c r="F19" s="19">
        <f t="shared" si="0"/>
        <v>0</v>
      </c>
      <c r="G19" s="20"/>
    </row>
    <row r="20" spans="1:7" s="82" customFormat="1" ht="11.25" customHeight="1">
      <c r="A20" s="1010"/>
      <c r="B20" s="1007"/>
      <c r="C20" s="37">
        <v>4127</v>
      </c>
      <c r="D20" s="18"/>
      <c r="E20" s="18"/>
      <c r="F20" s="18"/>
      <c r="G20" s="21"/>
    </row>
    <row r="21" spans="1:7" s="77" customFormat="1" ht="24.75" customHeight="1">
      <c r="A21" s="1010"/>
      <c r="B21" s="1002"/>
      <c r="C21" s="32" t="s">
        <v>38</v>
      </c>
      <c r="D21" s="19">
        <v>55200000</v>
      </c>
      <c r="E21" s="19">
        <v>55200000</v>
      </c>
      <c r="F21" s="19">
        <f t="shared" si="0"/>
        <v>0</v>
      </c>
      <c r="G21" s="90"/>
    </row>
    <row r="22" spans="1:7" s="77" customFormat="1" ht="15" customHeight="1">
      <c r="A22" s="78">
        <v>4200</v>
      </c>
      <c r="B22" s="535"/>
      <c r="C22" s="40"/>
      <c r="D22" s="18"/>
      <c r="E22" s="18"/>
      <c r="F22" s="18"/>
      <c r="G22" s="91"/>
    </row>
    <row r="23" spans="1:7" s="178" customFormat="1" ht="26.45" customHeight="1">
      <c r="A23" s="531" t="s">
        <v>39</v>
      </c>
      <c r="B23" s="536"/>
      <c r="C23" s="42"/>
      <c r="D23" s="19">
        <f>D25+D31+D45</f>
        <v>1293446000</v>
      </c>
      <c r="E23" s="19">
        <f>SUM(E25+E31+E45)</f>
        <v>860576000</v>
      </c>
      <c r="F23" s="19">
        <f t="shared" si="0"/>
        <v>432870000</v>
      </c>
      <c r="G23" s="20"/>
    </row>
    <row r="24" spans="1:7" s="82" customFormat="1" ht="12" customHeight="1">
      <c r="A24" s="530"/>
      <c r="B24" s="87">
        <v>4210</v>
      </c>
      <c r="C24" s="92"/>
      <c r="D24" s="36"/>
      <c r="E24" s="36"/>
      <c r="F24" s="36"/>
      <c r="G24" s="81"/>
    </row>
    <row r="25" spans="1:7" s="77" customFormat="1" ht="26.45" customHeight="1">
      <c r="A25" s="530"/>
      <c r="B25" s="530" t="s">
        <v>45</v>
      </c>
      <c r="C25" s="42"/>
      <c r="D25" s="19">
        <f>SUM(D26:D29)</f>
        <v>23996000</v>
      </c>
      <c r="E25" s="19">
        <f>SUM(E26:E29)</f>
        <v>12896000</v>
      </c>
      <c r="F25" s="19">
        <f t="shared" si="0"/>
        <v>11100000</v>
      </c>
      <c r="G25" s="20"/>
    </row>
    <row r="26" spans="1:7" s="95" customFormat="1" ht="12.75" customHeight="1">
      <c r="A26" s="533"/>
      <c r="B26" s="533"/>
      <c r="C26" s="37">
        <v>4216</v>
      </c>
      <c r="D26" s="38"/>
      <c r="E26" s="38"/>
      <c r="F26" s="38"/>
      <c r="G26" s="99"/>
    </row>
    <row r="27" spans="1:7" s="77" customFormat="1" ht="22.5" customHeight="1">
      <c r="A27" s="94"/>
      <c r="B27" s="1008"/>
      <c r="C27" s="32" t="s">
        <v>44</v>
      </c>
      <c r="D27" s="19">
        <v>2000000</v>
      </c>
      <c r="E27" s="19">
        <v>2000000</v>
      </c>
      <c r="F27" s="19">
        <f t="shared" si="0"/>
        <v>0</v>
      </c>
      <c r="G27" s="20"/>
    </row>
    <row r="28" spans="1:7" s="95" customFormat="1" ht="14.25" customHeight="1">
      <c r="A28" s="533"/>
      <c r="B28" s="1008"/>
      <c r="C28" s="37">
        <v>4217</v>
      </c>
      <c r="D28" s="38"/>
      <c r="E28" s="38"/>
      <c r="F28" s="38"/>
      <c r="G28" s="24"/>
    </row>
    <row r="29" spans="1:7" s="77" customFormat="1" ht="22.5" customHeight="1">
      <c r="A29" s="94"/>
      <c r="B29" s="1008"/>
      <c r="C29" s="32" t="s">
        <v>405</v>
      </c>
      <c r="D29" s="19">
        <v>21996000</v>
      </c>
      <c r="E29" s="19">
        <v>10896000</v>
      </c>
      <c r="F29" s="19">
        <f aca="true" t="shared" si="1" ref="F29">D29-E29</f>
        <v>11100000</v>
      </c>
      <c r="G29" s="20"/>
    </row>
    <row r="30" spans="1:7" s="95" customFormat="1" ht="12" customHeight="1">
      <c r="A30" s="533"/>
      <c r="B30" s="532">
        <v>4220</v>
      </c>
      <c r="C30" s="35"/>
      <c r="D30" s="101"/>
      <c r="E30" s="101"/>
      <c r="F30" s="101"/>
      <c r="G30" s="102"/>
    </row>
    <row r="31" spans="1:7" s="77" customFormat="1" ht="22.5" customHeight="1">
      <c r="A31" s="94"/>
      <c r="B31" s="530" t="s">
        <v>82</v>
      </c>
      <c r="C31" s="42"/>
      <c r="D31" s="19">
        <f>SUM(D33:D43)</f>
        <v>639950000</v>
      </c>
      <c r="E31" s="19">
        <f>E33+E35+E37+E39+E41+E43</f>
        <v>65180000</v>
      </c>
      <c r="F31" s="19">
        <f t="shared" si="0"/>
        <v>574770000</v>
      </c>
      <c r="G31" s="20"/>
    </row>
    <row r="32" spans="1:7" s="95" customFormat="1" ht="12" customHeight="1">
      <c r="A32" s="533"/>
      <c r="B32" s="533"/>
      <c r="C32" s="43">
        <v>4221</v>
      </c>
      <c r="D32" s="38"/>
      <c r="E32" s="38"/>
      <c r="F32" s="38"/>
      <c r="G32" s="24"/>
    </row>
    <row r="33" spans="1:7" s="77" customFormat="1" ht="22.5" customHeight="1">
      <c r="A33" s="94"/>
      <c r="B33" s="94"/>
      <c r="C33" s="32" t="s">
        <v>46</v>
      </c>
      <c r="D33" s="19">
        <v>3500000</v>
      </c>
      <c r="E33" s="19">
        <v>6700000</v>
      </c>
      <c r="F33" s="19">
        <f t="shared" si="0"/>
        <v>-3200000</v>
      </c>
      <c r="G33" s="20"/>
    </row>
    <row r="34" spans="1:7" s="95" customFormat="1" ht="14.25" customHeight="1">
      <c r="A34" s="533"/>
      <c r="B34" s="533"/>
      <c r="C34" s="37">
        <v>4222</v>
      </c>
      <c r="D34" s="38"/>
      <c r="E34" s="38"/>
      <c r="F34" s="38"/>
      <c r="G34" s="24"/>
    </row>
    <row r="35" spans="1:7" s="77" customFormat="1" ht="22.5" customHeight="1">
      <c r="A35" s="94"/>
      <c r="B35" s="94"/>
      <c r="C35" s="32" t="s">
        <v>47</v>
      </c>
      <c r="D35" s="19">
        <v>33800000</v>
      </c>
      <c r="E35" s="19">
        <v>33800000</v>
      </c>
      <c r="F35" s="19">
        <f t="shared" si="0"/>
        <v>0</v>
      </c>
      <c r="G35" s="20"/>
    </row>
    <row r="36" spans="1:7" s="95" customFormat="1" ht="11.25" customHeight="1">
      <c r="A36" s="533"/>
      <c r="B36" s="533"/>
      <c r="C36" s="37">
        <v>4223</v>
      </c>
      <c r="D36" s="38"/>
      <c r="E36" s="38"/>
      <c r="F36" s="38"/>
      <c r="G36" s="24"/>
    </row>
    <row r="37" spans="1:7" s="77" customFormat="1" ht="22.5" customHeight="1">
      <c r="A37" s="94"/>
      <c r="B37" s="94"/>
      <c r="C37" s="32" t="s">
        <v>48</v>
      </c>
      <c r="D37" s="19">
        <v>15000000</v>
      </c>
      <c r="E37" s="19">
        <v>15000000</v>
      </c>
      <c r="F37" s="19">
        <f t="shared" si="0"/>
        <v>0</v>
      </c>
      <c r="G37" s="20"/>
    </row>
    <row r="38" spans="1:7" s="95" customFormat="1" ht="12">
      <c r="A38" s="533"/>
      <c r="B38" s="533"/>
      <c r="C38" s="37">
        <v>4227</v>
      </c>
      <c r="D38" s="38"/>
      <c r="E38" s="38"/>
      <c r="F38" s="38"/>
      <c r="G38" s="24"/>
    </row>
    <row r="39" spans="1:7" s="77" customFormat="1" ht="22.5" customHeight="1">
      <c r="A39" s="94"/>
      <c r="B39" s="94"/>
      <c r="C39" s="32" t="s">
        <v>49</v>
      </c>
      <c r="D39" s="19">
        <v>4150000</v>
      </c>
      <c r="E39" s="19">
        <v>6180000</v>
      </c>
      <c r="F39" s="19">
        <f t="shared" si="0"/>
        <v>-2030000</v>
      </c>
      <c r="G39" s="20"/>
    </row>
    <row r="40" spans="1:7" s="95" customFormat="1" ht="11.25" customHeight="1">
      <c r="A40" s="533"/>
      <c r="B40" s="533"/>
      <c r="C40" s="37">
        <v>4228</v>
      </c>
      <c r="D40" s="38"/>
      <c r="E40" s="38"/>
      <c r="F40" s="38"/>
      <c r="G40" s="24"/>
    </row>
    <row r="41" spans="1:7" s="77" customFormat="1" ht="22.5" customHeight="1">
      <c r="A41" s="94"/>
      <c r="B41" s="94"/>
      <c r="C41" s="32" t="s">
        <v>50</v>
      </c>
      <c r="D41" s="19">
        <f>2000000+580000000</f>
        <v>582000000</v>
      </c>
      <c r="E41" s="19">
        <v>2000000</v>
      </c>
      <c r="F41" s="19">
        <f t="shared" si="0"/>
        <v>580000000</v>
      </c>
      <c r="G41" s="20"/>
    </row>
    <row r="42" spans="1:7" s="95" customFormat="1" ht="11.25" customHeight="1">
      <c r="A42" s="533"/>
      <c r="B42" s="533"/>
      <c r="C42" s="37">
        <v>4229</v>
      </c>
      <c r="D42" s="38"/>
      <c r="E42" s="38"/>
      <c r="F42" s="38"/>
      <c r="G42" s="24"/>
    </row>
    <row r="43" spans="1:7" s="77" customFormat="1" ht="24.75" customHeight="1">
      <c r="A43" s="94"/>
      <c r="B43" s="97"/>
      <c r="C43" s="32" t="s">
        <v>86</v>
      </c>
      <c r="D43" s="19">
        <v>1500000</v>
      </c>
      <c r="E43" s="19">
        <v>1500000</v>
      </c>
      <c r="F43" s="19">
        <f t="shared" si="0"/>
        <v>0</v>
      </c>
      <c r="G43" s="20"/>
    </row>
    <row r="44" spans="1:7" s="95" customFormat="1" ht="12">
      <c r="A44" s="533"/>
      <c r="B44" s="532">
        <v>4230</v>
      </c>
      <c r="C44" s="35"/>
      <c r="D44" s="101"/>
      <c r="E44" s="101"/>
      <c r="F44" s="101"/>
      <c r="G44" s="102"/>
    </row>
    <row r="45" spans="1:7" s="77" customFormat="1" ht="22.5" customHeight="1">
      <c r="A45" s="94"/>
      <c r="B45" s="530" t="s">
        <v>57</v>
      </c>
      <c r="C45" s="42"/>
      <c r="D45" s="19">
        <f>SUM(D47:D59)</f>
        <v>629500000</v>
      </c>
      <c r="E45" s="19">
        <f>SUM(E47:E59)</f>
        <v>782500000</v>
      </c>
      <c r="F45" s="19">
        <f t="shared" si="0"/>
        <v>-153000000</v>
      </c>
      <c r="G45" s="20"/>
    </row>
    <row r="46" spans="1:7" s="95" customFormat="1" ht="12">
      <c r="A46" s="533"/>
      <c r="B46" s="94"/>
      <c r="C46" s="43">
        <v>4231</v>
      </c>
      <c r="D46" s="38"/>
      <c r="E46" s="38"/>
      <c r="F46" s="38"/>
      <c r="G46" s="24"/>
    </row>
    <row r="47" spans="1:7" s="77" customFormat="1" ht="22.5" customHeight="1">
      <c r="A47" s="97"/>
      <c r="B47" s="97"/>
      <c r="C47" s="32" t="s">
        <v>51</v>
      </c>
      <c r="D47" s="19">
        <v>11000000</v>
      </c>
      <c r="E47" s="19">
        <v>14000000</v>
      </c>
      <c r="F47" s="19">
        <f t="shared" si="0"/>
        <v>-3000000</v>
      </c>
      <c r="G47" s="20"/>
    </row>
    <row r="48" spans="1:7" s="95" customFormat="1" ht="12">
      <c r="A48" s="533"/>
      <c r="B48" s="94"/>
      <c r="C48" s="35">
        <v>4232</v>
      </c>
      <c r="D48" s="101"/>
      <c r="E48" s="101"/>
      <c r="F48" s="101"/>
      <c r="G48" s="102"/>
    </row>
    <row r="49" spans="1:7" s="77" customFormat="1" ht="22.5" customHeight="1">
      <c r="A49" s="94"/>
      <c r="B49" s="94"/>
      <c r="C49" s="32" t="s">
        <v>52</v>
      </c>
      <c r="D49" s="19">
        <v>3200000</v>
      </c>
      <c r="E49" s="19">
        <v>3200000</v>
      </c>
      <c r="F49" s="19">
        <f t="shared" si="0"/>
        <v>0</v>
      </c>
      <c r="G49" s="20"/>
    </row>
    <row r="50" spans="1:7" s="95" customFormat="1" ht="12">
      <c r="A50" s="533"/>
      <c r="B50" s="533"/>
      <c r="C50" s="37">
        <v>4233</v>
      </c>
      <c r="D50" s="38"/>
      <c r="E50" s="38"/>
      <c r="F50" s="38"/>
      <c r="G50" s="24"/>
    </row>
    <row r="51" spans="1:7" s="77" customFormat="1" ht="22.5" customHeight="1">
      <c r="A51" s="94"/>
      <c r="B51" s="94"/>
      <c r="C51" s="32" t="s">
        <v>130</v>
      </c>
      <c r="D51" s="19">
        <v>450000000</v>
      </c>
      <c r="E51" s="19">
        <v>590000000</v>
      </c>
      <c r="F51" s="19">
        <f t="shared" si="0"/>
        <v>-140000000</v>
      </c>
      <c r="G51" s="90"/>
    </row>
    <row r="52" spans="1:7" s="95" customFormat="1" ht="12">
      <c r="A52" s="94"/>
      <c r="B52" s="94"/>
      <c r="C52" s="37">
        <v>4234</v>
      </c>
      <c r="D52" s="38"/>
      <c r="E52" s="38"/>
      <c r="F52" s="38"/>
      <c r="G52" s="99"/>
    </row>
    <row r="53" spans="1:7" s="77" customFormat="1" ht="22.5" customHeight="1">
      <c r="A53" s="94"/>
      <c r="B53" s="94"/>
      <c r="C53" s="32" t="s">
        <v>87</v>
      </c>
      <c r="D53" s="19">
        <v>50000000</v>
      </c>
      <c r="E53" s="19">
        <v>60000000</v>
      </c>
      <c r="F53" s="19">
        <f t="shared" si="0"/>
        <v>-10000000</v>
      </c>
      <c r="G53" s="20"/>
    </row>
    <row r="54" spans="1:7" s="95" customFormat="1" ht="12">
      <c r="A54" s="94"/>
      <c r="B54" s="94"/>
      <c r="C54" s="37">
        <v>4236</v>
      </c>
      <c r="D54" s="38"/>
      <c r="E54" s="38"/>
      <c r="F54" s="38"/>
      <c r="G54" s="105"/>
    </row>
    <row r="55" spans="1:7" s="77" customFormat="1" ht="22.5" customHeight="1">
      <c r="A55" s="94"/>
      <c r="B55" s="94"/>
      <c r="C55" s="32" t="s">
        <v>54</v>
      </c>
      <c r="D55" s="19">
        <v>97000000</v>
      </c>
      <c r="E55" s="19">
        <v>97000000</v>
      </c>
      <c r="F55" s="19">
        <f t="shared" si="0"/>
        <v>0</v>
      </c>
      <c r="G55" s="20"/>
    </row>
    <row r="56" spans="1:7" s="95" customFormat="1" ht="12">
      <c r="A56" s="94"/>
      <c r="B56" s="94"/>
      <c r="C56" s="37">
        <v>4237</v>
      </c>
      <c r="D56" s="38"/>
      <c r="E56" s="38"/>
      <c r="F56" s="38"/>
      <c r="G56" s="24"/>
    </row>
    <row r="57" spans="1:7" s="77" customFormat="1" ht="23.25" customHeight="1">
      <c r="A57" s="94"/>
      <c r="B57" s="94"/>
      <c r="C57" s="32" t="s">
        <v>55</v>
      </c>
      <c r="D57" s="19">
        <v>3500000</v>
      </c>
      <c r="E57" s="19">
        <v>3500000</v>
      </c>
      <c r="F57" s="19">
        <f t="shared" si="0"/>
        <v>0</v>
      </c>
      <c r="G57" s="90"/>
    </row>
    <row r="58" spans="1:7" s="95" customFormat="1" ht="12">
      <c r="A58" s="94"/>
      <c r="B58" s="94"/>
      <c r="C58" s="37">
        <v>4239</v>
      </c>
      <c r="D58" s="38"/>
      <c r="E58" s="38"/>
      <c r="F58" s="38"/>
      <c r="G58" s="99"/>
    </row>
    <row r="59" spans="1:7" s="77" customFormat="1" ht="22.5" customHeight="1">
      <c r="A59" s="97"/>
      <c r="B59" s="97"/>
      <c r="C59" s="32" t="s">
        <v>56</v>
      </c>
      <c r="D59" s="19">
        <v>14800000</v>
      </c>
      <c r="E59" s="19">
        <v>14800000</v>
      </c>
      <c r="F59" s="19">
        <f t="shared" si="0"/>
        <v>0</v>
      </c>
      <c r="G59" s="90"/>
    </row>
    <row r="60" spans="1:7" s="95" customFormat="1" ht="12">
      <c r="A60" s="532">
        <v>4500</v>
      </c>
      <c r="B60" s="532"/>
      <c r="C60" s="37"/>
      <c r="D60" s="107"/>
      <c r="E60" s="38"/>
      <c r="F60" s="38"/>
      <c r="G60" s="99"/>
    </row>
    <row r="61" spans="1:7" s="77" customFormat="1" ht="22.5" customHeight="1">
      <c r="A61" s="1007" t="s">
        <v>68</v>
      </c>
      <c r="B61" s="531"/>
      <c r="C61" s="32"/>
      <c r="D61" s="51">
        <f>D63</f>
        <v>9141746000</v>
      </c>
      <c r="E61" s="51">
        <f>E63</f>
        <v>4923000000</v>
      </c>
      <c r="F61" s="19">
        <f t="shared" si="0"/>
        <v>4218746000</v>
      </c>
      <c r="G61" s="90"/>
    </row>
    <row r="62" spans="1:7" s="95" customFormat="1" ht="12">
      <c r="A62" s="1007"/>
      <c r="B62" s="532">
        <v>4510</v>
      </c>
      <c r="C62" s="37"/>
      <c r="D62" s="107"/>
      <c r="E62" s="107"/>
      <c r="F62" s="38"/>
      <c r="G62" s="99"/>
    </row>
    <row r="63" spans="1:7" s="77" customFormat="1" ht="21.75" customHeight="1">
      <c r="A63" s="1007"/>
      <c r="B63" s="1002" t="s">
        <v>69</v>
      </c>
      <c r="C63" s="32"/>
      <c r="D63" s="51">
        <f>D65+D67</f>
        <v>9141746000</v>
      </c>
      <c r="E63" s="51">
        <f>E65+E67</f>
        <v>4923000000</v>
      </c>
      <c r="F63" s="19">
        <f t="shared" si="0"/>
        <v>4218746000</v>
      </c>
      <c r="G63" s="90"/>
    </row>
    <row r="64" spans="1:7" s="95" customFormat="1" ht="12">
      <c r="A64" s="1007"/>
      <c r="B64" s="1002"/>
      <c r="C64" s="37">
        <v>4511</v>
      </c>
      <c r="D64" s="107"/>
      <c r="E64" s="107"/>
      <c r="F64" s="38"/>
      <c r="G64" s="99"/>
    </row>
    <row r="65" spans="1:7" s="77" customFormat="1" ht="22.5" customHeight="1">
      <c r="A65" s="1007"/>
      <c r="B65" s="1002"/>
      <c r="C65" s="48" t="s">
        <v>318</v>
      </c>
      <c r="D65" s="51">
        <v>4907208000</v>
      </c>
      <c r="E65" s="19">
        <v>53000000</v>
      </c>
      <c r="F65" s="19">
        <f aca="true" t="shared" si="2" ref="F65">D65-E65</f>
        <v>4854208000</v>
      </c>
      <c r="G65" s="90"/>
    </row>
    <row r="66" spans="1:7" s="95" customFormat="1" ht="12">
      <c r="A66" s="1007"/>
      <c r="B66" s="1002"/>
      <c r="C66" s="37">
        <v>4512</v>
      </c>
      <c r="D66" s="107"/>
      <c r="E66" s="107"/>
      <c r="F66" s="38"/>
      <c r="G66" s="99"/>
    </row>
    <row r="67" spans="1:7" s="77" customFormat="1" ht="22.5" customHeight="1">
      <c r="A67" s="1007"/>
      <c r="B67" s="1002"/>
      <c r="C67" s="48" t="s">
        <v>319</v>
      </c>
      <c r="D67" s="51">
        <v>4234538000</v>
      </c>
      <c r="E67" s="19">
        <v>4870000000</v>
      </c>
      <c r="F67" s="19">
        <f aca="true" t="shared" si="3" ref="F67">D67-E67</f>
        <v>-635462000</v>
      </c>
      <c r="G67" s="90"/>
    </row>
    <row r="68" spans="1:7" s="95" customFormat="1" ht="11.25" customHeight="1">
      <c r="A68" s="532">
        <v>4600</v>
      </c>
      <c r="B68" s="532"/>
      <c r="C68" s="37"/>
      <c r="D68" s="107"/>
      <c r="E68" s="38"/>
      <c r="F68" s="38"/>
      <c r="G68" s="99"/>
    </row>
    <row r="69" spans="1:7" s="77" customFormat="1" ht="22.5" customHeight="1">
      <c r="A69" s="1003" t="s">
        <v>70</v>
      </c>
      <c r="B69" s="531"/>
      <c r="C69" s="32"/>
      <c r="D69" s="51">
        <f>D71</f>
        <v>50000000</v>
      </c>
      <c r="E69" s="51">
        <f>E71</f>
        <v>50000000</v>
      </c>
      <c r="F69" s="19">
        <f t="shared" si="0"/>
        <v>0</v>
      </c>
      <c r="G69" s="20"/>
    </row>
    <row r="70" spans="1:7" s="95" customFormat="1" ht="14.25" customHeight="1">
      <c r="A70" s="1003"/>
      <c r="B70" s="532">
        <v>4610</v>
      </c>
      <c r="C70" s="37"/>
      <c r="D70" s="107"/>
      <c r="E70" s="107"/>
      <c r="F70" s="38"/>
      <c r="G70" s="24"/>
    </row>
    <row r="71" spans="1:7" s="77" customFormat="1" ht="22.5" customHeight="1">
      <c r="A71" s="94"/>
      <c r="B71" s="530" t="s">
        <v>71</v>
      </c>
      <c r="C71" s="32"/>
      <c r="D71" s="19">
        <f>D73</f>
        <v>50000000</v>
      </c>
      <c r="E71" s="19">
        <f>E73</f>
        <v>50000000</v>
      </c>
      <c r="F71" s="19">
        <f t="shared" si="0"/>
        <v>0</v>
      </c>
      <c r="G71" s="20"/>
    </row>
    <row r="72" spans="1:7" s="95" customFormat="1" ht="11.25" customHeight="1">
      <c r="A72" s="96"/>
      <c r="B72" s="96"/>
      <c r="C72" s="56">
        <v>4611</v>
      </c>
      <c r="D72" s="98"/>
      <c r="E72" s="98"/>
      <c r="F72" s="98"/>
      <c r="G72" s="103"/>
    </row>
    <row r="73" spans="1:7" s="77" customFormat="1" ht="22.5" customHeight="1">
      <c r="A73" s="94"/>
      <c r="B73" s="94"/>
      <c r="C73" s="46" t="s">
        <v>71</v>
      </c>
      <c r="D73" s="88">
        <v>50000000</v>
      </c>
      <c r="E73" s="36">
        <v>50000000</v>
      </c>
      <c r="F73" s="36">
        <f t="shared" si="0"/>
        <v>0</v>
      </c>
      <c r="G73" s="110"/>
    </row>
    <row r="74" spans="1:7" s="77" customFormat="1" ht="12">
      <c r="A74" s="532">
        <v>1200</v>
      </c>
      <c r="B74" s="106"/>
      <c r="C74" s="40"/>
      <c r="D74" s="50"/>
      <c r="E74" s="18"/>
      <c r="F74" s="18"/>
      <c r="G74" s="111"/>
    </row>
    <row r="75" spans="1:7" s="77" customFormat="1" ht="22.5" customHeight="1">
      <c r="A75" s="179" t="s">
        <v>103</v>
      </c>
      <c r="B75" s="97"/>
      <c r="C75" s="32"/>
      <c r="D75" s="51">
        <f>D77+D81</f>
        <v>100000000</v>
      </c>
      <c r="E75" s="51">
        <v>100000000</v>
      </c>
      <c r="F75" s="19">
        <f>D75-E75</f>
        <v>0</v>
      </c>
      <c r="G75" s="108"/>
    </row>
    <row r="76" spans="1:7" s="77" customFormat="1" ht="14.25" customHeight="1">
      <c r="A76" s="94"/>
      <c r="B76" s="533">
        <v>1210</v>
      </c>
      <c r="C76" s="46"/>
      <c r="D76" s="88"/>
      <c r="E76" s="36"/>
      <c r="F76" s="36"/>
      <c r="G76" s="110"/>
    </row>
    <row r="77" spans="1:7" s="77" customFormat="1" ht="22.5" customHeight="1">
      <c r="A77" s="94"/>
      <c r="B77" s="530" t="s">
        <v>402</v>
      </c>
      <c r="C77" s="46"/>
      <c r="D77" s="88">
        <f>D79</f>
        <v>100000000</v>
      </c>
      <c r="E77" s="88">
        <f>E79</f>
        <v>100000000</v>
      </c>
      <c r="F77" s="36">
        <f>D77-E77</f>
        <v>0</v>
      </c>
      <c r="G77" s="110"/>
    </row>
    <row r="78" spans="1:7" s="77" customFormat="1" ht="12">
      <c r="A78" s="94"/>
      <c r="B78" s="94"/>
      <c r="C78" s="37">
        <v>1213</v>
      </c>
      <c r="D78" s="50"/>
      <c r="E78" s="18"/>
      <c r="F78" s="18"/>
      <c r="G78" s="111"/>
    </row>
    <row r="79" spans="1:7" s="77" customFormat="1" ht="22.5" customHeight="1">
      <c r="A79" s="94"/>
      <c r="B79" s="94"/>
      <c r="C79" s="32" t="s">
        <v>977</v>
      </c>
      <c r="D79" s="51">
        <v>100000000</v>
      </c>
      <c r="E79" s="19">
        <v>100000000</v>
      </c>
      <c r="F79" s="19">
        <f>D79-E79</f>
        <v>0</v>
      </c>
      <c r="G79" s="108"/>
    </row>
    <row r="80" spans="1:7" s="77" customFormat="1" ht="14.25" customHeight="1">
      <c r="A80" s="94"/>
      <c r="B80" s="532">
        <v>1260</v>
      </c>
      <c r="C80" s="46"/>
      <c r="D80" s="88"/>
      <c r="E80" s="36"/>
      <c r="F80" s="36"/>
      <c r="G80" s="110"/>
    </row>
    <row r="81" spans="1:7" s="77" customFormat="1" ht="22.5" customHeight="1">
      <c r="A81" s="94"/>
      <c r="B81" s="530" t="s">
        <v>320</v>
      </c>
      <c r="C81" s="46"/>
      <c r="D81" s="88">
        <f>D83+D85</f>
        <v>0</v>
      </c>
      <c r="E81" s="88">
        <f>E83+E85</f>
        <v>0</v>
      </c>
      <c r="F81" s="36">
        <f>D81-E81</f>
        <v>0</v>
      </c>
      <c r="G81" s="110"/>
    </row>
    <row r="82" spans="1:7" s="77" customFormat="1" ht="12">
      <c r="A82" s="94"/>
      <c r="B82" s="94"/>
      <c r="C82" s="37">
        <v>1263</v>
      </c>
      <c r="D82" s="50"/>
      <c r="E82" s="18"/>
      <c r="F82" s="18"/>
      <c r="G82" s="111"/>
    </row>
    <row r="83" spans="1:7" s="77" customFormat="1" ht="22.5" customHeight="1">
      <c r="A83" s="94"/>
      <c r="B83" s="94"/>
      <c r="C83" s="48" t="s">
        <v>978</v>
      </c>
      <c r="D83" s="51">
        <v>0</v>
      </c>
      <c r="E83" s="19">
        <v>0</v>
      </c>
      <c r="F83" s="19">
        <f>D83-E83</f>
        <v>0</v>
      </c>
      <c r="G83" s="108"/>
    </row>
    <row r="84" spans="1:7" s="77" customFormat="1" ht="12">
      <c r="A84" s="94"/>
      <c r="B84" s="94"/>
      <c r="C84" s="37">
        <v>1266</v>
      </c>
      <c r="D84" s="50"/>
      <c r="E84" s="18"/>
      <c r="F84" s="18"/>
      <c r="G84" s="111"/>
    </row>
    <row r="85" spans="1:7" s="77" customFormat="1" ht="21.75" customHeight="1">
      <c r="A85" s="94"/>
      <c r="B85" s="94"/>
      <c r="C85" s="48" t="s">
        <v>979</v>
      </c>
      <c r="D85" s="51">
        <v>0</v>
      </c>
      <c r="E85" s="19">
        <v>0</v>
      </c>
      <c r="F85" s="19">
        <f>D85-E85</f>
        <v>0</v>
      </c>
      <c r="G85" s="108"/>
    </row>
    <row r="86" spans="1:7" s="95" customFormat="1" ht="12.75" customHeight="1">
      <c r="A86" s="532">
        <v>1300</v>
      </c>
      <c r="B86" s="532"/>
      <c r="C86" s="37"/>
      <c r="D86" s="45"/>
      <c r="E86" s="38"/>
      <c r="F86" s="38"/>
      <c r="G86" s="24"/>
    </row>
    <row r="87" spans="1:7" s="77" customFormat="1" ht="22.5" customHeight="1">
      <c r="A87" s="202" t="s">
        <v>196</v>
      </c>
      <c r="B87" s="531"/>
      <c r="C87" s="32"/>
      <c r="D87" s="19">
        <f>SUM(D89)</f>
        <v>20000000</v>
      </c>
      <c r="E87" s="19">
        <f>SUM(E89)</f>
        <v>13000000</v>
      </c>
      <c r="F87" s="19">
        <f aca="true" t="shared" si="4" ref="F87:F96">D87-E87</f>
        <v>7000000</v>
      </c>
      <c r="G87" s="20"/>
    </row>
    <row r="88" spans="1:7" s="95" customFormat="1" ht="13.5" customHeight="1">
      <c r="A88" s="533"/>
      <c r="B88" s="533">
        <v>1310</v>
      </c>
      <c r="C88" s="37"/>
      <c r="D88" s="38"/>
      <c r="E88" s="38"/>
      <c r="F88" s="38"/>
      <c r="G88" s="24"/>
    </row>
    <row r="89" spans="1:7" s="77" customFormat="1" ht="22.5" customHeight="1">
      <c r="A89" s="537"/>
      <c r="B89" s="202" t="s">
        <v>92</v>
      </c>
      <c r="C89" s="32"/>
      <c r="D89" s="19">
        <f>SUM(D90:D91)</f>
        <v>20000000</v>
      </c>
      <c r="E89" s="19">
        <f>SUM(E90:E91)</f>
        <v>13000000</v>
      </c>
      <c r="F89" s="19">
        <f t="shared" si="4"/>
        <v>7000000</v>
      </c>
      <c r="G89" s="20"/>
    </row>
    <row r="90" spans="1:7" s="95" customFormat="1" ht="11.25" customHeight="1">
      <c r="A90" s="87"/>
      <c r="B90" s="533"/>
      <c r="C90" s="37">
        <v>1315</v>
      </c>
      <c r="D90" s="38"/>
      <c r="E90" s="38"/>
      <c r="F90" s="38"/>
      <c r="G90" s="99"/>
    </row>
    <row r="91" spans="1:7" s="77" customFormat="1" ht="22.5" customHeight="1">
      <c r="A91" s="113"/>
      <c r="B91" s="94"/>
      <c r="C91" s="46" t="s">
        <v>135</v>
      </c>
      <c r="D91" s="36">
        <v>20000000</v>
      </c>
      <c r="E91" s="36">
        <v>13000000</v>
      </c>
      <c r="F91" s="36">
        <f t="shared" si="4"/>
        <v>7000000</v>
      </c>
      <c r="G91" s="540"/>
    </row>
    <row r="92" spans="1:7" s="77" customFormat="1" ht="22.5" customHeight="1">
      <c r="A92" s="1004" t="s">
        <v>321</v>
      </c>
      <c r="B92" s="534"/>
      <c r="C92" s="109"/>
      <c r="D92" s="57">
        <f>D94</f>
        <v>121197000</v>
      </c>
      <c r="E92" s="57">
        <f>E94</f>
        <v>46818000</v>
      </c>
      <c r="F92" s="57">
        <f t="shared" si="4"/>
        <v>74379000</v>
      </c>
      <c r="G92" s="103"/>
    </row>
    <row r="93" spans="1:7" s="95" customFormat="1" ht="12">
      <c r="A93" s="1005"/>
      <c r="B93" s="532">
        <v>1100</v>
      </c>
      <c r="C93" s="37"/>
      <c r="D93" s="38"/>
      <c r="E93" s="38"/>
      <c r="F93" s="38"/>
      <c r="G93" s="117"/>
    </row>
    <row r="94" spans="1:7" s="77" customFormat="1" ht="22.5" customHeight="1">
      <c r="A94" s="1005"/>
      <c r="B94" s="202" t="s">
        <v>406</v>
      </c>
      <c r="C94" s="32"/>
      <c r="D94" s="44">
        <f>SUM(D96:D96)</f>
        <v>121197000</v>
      </c>
      <c r="E94" s="44">
        <f>SUM(E96:E96)</f>
        <v>46818000</v>
      </c>
      <c r="F94" s="19">
        <f t="shared" si="4"/>
        <v>74379000</v>
      </c>
      <c r="G94" s="20"/>
    </row>
    <row r="95" spans="1:7" s="95" customFormat="1" ht="11.25" customHeight="1">
      <c r="A95" s="1005"/>
      <c r="B95" s="533"/>
      <c r="C95" s="37">
        <v>1110</v>
      </c>
      <c r="D95" s="45"/>
      <c r="E95" s="45"/>
      <c r="F95" s="38"/>
      <c r="G95" s="24"/>
    </row>
    <row r="96" spans="1:7" s="77" customFormat="1" ht="22.5" customHeight="1">
      <c r="A96" s="1006"/>
      <c r="B96" s="531"/>
      <c r="C96" s="32" t="s">
        <v>406</v>
      </c>
      <c r="D96" s="44">
        <v>121197000</v>
      </c>
      <c r="E96" s="19">
        <v>46818000</v>
      </c>
      <c r="F96" s="19">
        <f t="shared" si="4"/>
        <v>74379000</v>
      </c>
      <c r="G96" s="20"/>
    </row>
    <row r="97" spans="1:7" s="77" customFormat="1" ht="26.45" customHeight="1">
      <c r="A97" s="991" t="s">
        <v>11</v>
      </c>
      <c r="B97" s="991"/>
      <c r="C97" s="991"/>
      <c r="D97" s="176">
        <f>D7+D23+D61+D69+D75+D87+D92</f>
        <v>11140119000</v>
      </c>
      <c r="E97" s="176">
        <f>E7+E23+E61+E69+E75+E87+E92</f>
        <v>6407124000</v>
      </c>
      <c r="F97" s="176">
        <f>D97-E97</f>
        <v>4732995000</v>
      </c>
      <c r="G97" s="177"/>
    </row>
  </sheetData>
  <mergeCells count="13">
    <mergeCell ref="B63:B67"/>
    <mergeCell ref="A69:A70"/>
    <mergeCell ref="A92:A96"/>
    <mergeCell ref="A97:C97"/>
    <mergeCell ref="B9:B21"/>
    <mergeCell ref="B27:B29"/>
    <mergeCell ref="A8:A21"/>
    <mergeCell ref="A61:A67"/>
    <mergeCell ref="A1:G1"/>
    <mergeCell ref="A2:G2"/>
    <mergeCell ref="A3:G3"/>
    <mergeCell ref="A4:C4"/>
    <mergeCell ref="G4:G5"/>
  </mergeCells>
  <printOptions/>
  <pageMargins left="0.5118110236220472" right="0.1968503937007874" top="1.062992125984252" bottom="0.4724409448818898" header="0.7480314960629921" footer="0.2362204724409449"/>
  <pageSetup horizontalDpi="600" verticalDpi="600" orientation="landscape" paperSize="9" r:id="rId4"/>
  <headerFooter alignWithMargins="0">
    <oddHeader>&amp;L&amp;"새굴림,보통"&amp;9&lt;별지제2호서식&gt;</oddHeader>
    <oddFooter>&amp;C&amp;P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M10"/>
  <sheetViews>
    <sheetView workbookViewId="0" topLeftCell="A1">
      <selection activeCell="K16" sqref="K16"/>
    </sheetView>
  </sheetViews>
  <sheetFormatPr defaultColWidth="9.00390625" defaultRowHeight="14.25"/>
  <cols>
    <col min="1" max="16384" width="9.00390625" style="70" customWidth="1"/>
  </cols>
  <sheetData>
    <row r="9" ht="49.5" customHeight="1"/>
    <row r="10" spans="1:91" ht="51" customHeight="1">
      <c r="A10" s="990" t="s">
        <v>291</v>
      </c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</sheetData>
  <mergeCells count="1">
    <mergeCell ref="A10:M10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등록금명세 산출내역</dc:title>
  <dc:subject/>
  <dc:creator>예산과 임현철</dc:creator>
  <cp:keywords/>
  <dc:description/>
  <cp:lastModifiedBy>user</cp:lastModifiedBy>
  <cp:lastPrinted>2014-12-30T05:24:59Z</cp:lastPrinted>
  <dcterms:created xsi:type="dcterms:W3CDTF">1997-12-10T08:52:28Z</dcterms:created>
  <dcterms:modified xsi:type="dcterms:W3CDTF">2014-12-30T05:25:53Z</dcterms:modified>
  <cp:category/>
  <cp:version/>
  <cp:contentType/>
  <cp:contentStatus/>
</cp:coreProperties>
</file>